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EstaPasta_de_trabalho"/>
  <mc:AlternateContent xmlns:mc="http://schemas.openxmlformats.org/markup-compatibility/2006">
    <mc:Choice Requires="x15">
      <x15ac:absPath xmlns:x15ac="http://schemas.microsoft.com/office/spreadsheetml/2010/11/ac" url="C:\Users\User\Downloads\"/>
    </mc:Choice>
  </mc:AlternateContent>
  <xr:revisionPtr revIDLastSave="0" documentId="13_ncr:1_{138F7EF3-75A2-4F7E-BD00-371652FF1D3D}" xr6:coauthVersionLast="47" xr6:coauthVersionMax="47" xr10:uidLastSave="{00000000-0000-0000-0000-000000000000}"/>
  <workbookProtection workbookAlgorithmName="SHA-512" workbookHashValue="r/G9MsDDCZcEcK9MaDEA4FgQCj029IIOe7x5/x2QOSsW9VrlyDDRQkmrfByXd4ztfasNuXFZ56u03rfL8E4ymw==" workbookSaltValue="eBBDNRwzelKNmz1GpM5c1Q==" workbookSpinCount="100000" lockStructure="1"/>
  <bookViews>
    <workbookView xWindow="-28920" yWindow="-120" windowWidth="29040" windowHeight="15720" tabRatio="801" firstSheet="1" activeTab="3"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BM!$C$15:$C$22</definedName>
    <definedName name="_xlnm._FilterDatabase" localSheetId="6" hidden="1">CÁLCULO!$C$15:$C$22</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ORÇAMENTO!$L$15:$L$22</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BM!$D$1:$O$37</definedName>
    <definedName name="_xlnm.Print_Area" localSheetId="6">CÁLCULO!$E$6:$AA$30</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ORÇAMENTO!$O$1:$Y$39</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BM!$C$15:$C$22</definedName>
    <definedName name="BM.firstrow" hidden="1">BM!$15:$15</definedName>
    <definedName name="BM.FormulaMed" hidden="1">BM!$AO$7</definedName>
    <definedName name="BM.lastrow" hidden="1">BM!$22:$22</definedName>
    <definedName name="BM.LinhaPadrão" hidden="1">BM!$14:$14</definedName>
    <definedName name="BM.MaxMed" hidden="1">IF(RegimeExecucao="Global",1,BM!$G1)</definedName>
    <definedName name="BM.MCAIXA.Filter" hidden="1">BM!$C$15:$Z$22</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CÁLCULO!$C$15:$C$22</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CÁLCULO!$22:$22</definedName>
    <definedName name="CÁLCULO.LinhaPadrão" hidden="1">CÁLCULO!$14:$14</definedName>
    <definedName name="CÁLCULO.margemrow" hidden="1">CÁLCULO!$30:$30</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CÁLCULO!$22:$22</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CÁLCULO!$22:$22</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CÁLCULO!$22:$22</definedName>
    <definedName name="CÁLCULO.nEvento" hidden="1">CÁLCULO!$M$12</definedName>
    <definedName name="CÁLCULO.NúmeroDeEventos" hidden="1">IF(AUTOEVENTO&lt;&gt;"manual",MAX(CÁLCULO!$M$15:$M$22),MAX(OFFSET(EVENTOS!$C$1:$C$65,1,0)))</definedName>
    <definedName name="CÁLCULO.NúmeroDeFrentes" hidden="1">COLUMN(CÁLCULO!$AA$15)-COLUMN(CÁLCULO!$Q$15)</definedName>
    <definedName name="CÁLCULO.Título" hidden="1">CÁLCULO!$F$6</definedName>
    <definedName name="CÁLCULO.TotalAdmLocal" hidden="1">IF(AUTOEVENTO="manual",SUMIF(CÁLCULO!$M$15:$M$22,1,ORÇAMENTO!$X$15:$X$22),0)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SUMIF(CÁLCULO!$M$15:$M$22,CRONOPLE!$B1,OFFSET(CÁLCULO!$AA$15:$AA$22,0,CRONOPLE!A$12))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BM!$D$25</definedName>
    <definedName name="Import.BMAFAcumulado" hidden="1">OFFSET(BM!$R$15,1,0):OFFSET(BM!$R$22,-1,0)</definedName>
    <definedName name="Import.BMArred" hidden="1">BM!$A$9</definedName>
    <definedName name="Import.CNPJ" hidden="1">DADOS!$C$39</definedName>
    <definedName name="Import.Código" hidden="1">OFFSET(ORÇAMENTO!$Q$15,1,0):OFFSET(ORÇAMENTO!$Q$22,-1,0)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OFFSET(ORÇAMENTO!$U$15,1,0):OFFSET(ORÇAMENTO!$U$22,-1,0)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OFFSET(ORÇAMENTO!$R$15,1,0):OFFSET(ORÇAMENTO!$R$22,-1,0)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OFFSET(ORÇAMENTO!$P$15,1,0):OFFSET(ORÇAMENTO!$P$22,-1,0)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OFFSET(ORÇAMENTO!$M$15,1,0):OFFSET(ORÇAMENTO!$M$22,-1,0)</definedName>
    <definedName name="Import.Ofício.Dest" hidden="1">OFÍCIO!$B$11</definedName>
    <definedName name="Import.Ofício.GIGOV" hidden="1">OFÍCIO!$C$11</definedName>
    <definedName name="Import.Ofício.Num" hidden="1">OFÍCIO!$C$6</definedName>
    <definedName name="Import.OpcaoBDI" hidden="1">OFFSET(ORÇAMENTO!$V$15,1,0):OFFSET(ORÇAMENTO!$V$22,-1,0)</definedName>
    <definedName name="Import.ORÇAMENTO.DivRecurso" hidden="1">OFFSET(ORÇAMENTO!$Y$15,1,0):OFFSET(ORÇAMENTO!$Y$22,-1,0)</definedName>
    <definedName name="Import.ORÇAMENTO.Obs" hidden="1">ORÇAMENTO!$O$28</definedName>
    <definedName name="Import.PLE" hidden="1">OFFSET(PLE!$G$15,1,1):OFFSET(PLE!$AG$65,-1,-1)</definedName>
    <definedName name="Import.PLE.Datas" hidden="1">PLE!$I$68:$AF$68</definedName>
    <definedName name="Import.PLQ" hidden="1">OFFSET(CÁLCULO!$P$15,1,1):OFFSET(CÁLCULO!$AA$22,-1,-1)</definedName>
    <definedName name="Import.PLQ.MemCalc" hidden="1">OFFSET(CÁLCULO!$I$15,1,0):OFFSET(CÁLCULO!$I$22,-1,0)</definedName>
    <definedName name="Import.PLQ.nAgrupEvent" hidden="1">OFFSET(CÁLCULO!$K$15,1,0):OFFSET(CÁLCULO!$K$22,-1,0)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OFFSET(ORÇAMENTO!$AJ$15,1,0):OFFSET(ORÇAMENTO!$AJ$22,-1,0)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OFFSET(ORÇAMENTO!$S$15,1,0):OFFSET(ORÇAMENTO!$S$22,-1,0)</definedName>
    <definedName name="Import.UnitarioLicitado" hidden="1">OFFSET(ORÇAMENTO!$AL$15,1,0):OFFSET(ORÇAMENTO!$AL$22,-1,0)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ORÇAMENTO!$L$15:$L$22</definedName>
    <definedName name="ORÇAMENTO.firstrow" hidden="1">ORÇAMENTO!$15:$15</definedName>
    <definedName name="ORÇAMENTO.Fonte" hidden="1">ORÇAMENTO!$P1</definedName>
    <definedName name="ORÇAMENTO.lastrow" hidden="1">ORÇAMENTO!$22:$22</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OFFSET(ORÇAMENTO!$AD$15,1,0):OFFSET(ORÇAMENTO!$AD$22,-1,0)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OFFSET(ORÇAMENTO!$P$15,1,0):OFFSET(ORÇAMENTO!$S$22,-1,0)</definedName>
    <definedName name="ORÇAMENTO.PasteFormat2" hidden="1">OFFSET(ORÇAMENTO!$U$15,1,0):OFFSET(ORÇAMENTO!$V$22,-1,0)</definedName>
    <definedName name="ORÇAMENTO.PrecoUnitarioLicitado" hidden="1">ORÇAMENTO!$AL1</definedName>
    <definedName name="ORÇAMENTO.QuantBM" hidden="1">ORÇAMENTO!$AJ1</definedName>
    <definedName name="ORÇAMENTO.RangeQuant" hidden="1">OFFSET(ORÇAMENTO!$T$15,1,0):OFFSET(ORÇAMENTO!$T$22,-1,0)</definedName>
    <definedName name="ORÇAMENTO.SumCPMANUAL" hidden="1">SUMIF(ORÇAMENTO!$Z$15:$Z$22,"CP",ORÇAMENTO!$AA$15:$AA$22)</definedName>
    <definedName name="ORÇAMENTO.SumINVMANUAL" hidden="1">SUMIF(ORÇAMENTO!$Z$15:$Z$22,"RP",ORÇAMENTO!$X$15:$X$22)+SUMIF(ORÇAMENTO!$Z$15:$Z$22,"CP",ORÇAMENTO!$X$15:$X$22)+SUMIF(ORÇAMENTO!$Z$15:$Z$22,"OU",ORÇAMENTO!$X$15:$X$22)</definedName>
    <definedName name="ORÇAMENTO.SumOUTROSMANUAL" hidden="1">SUMIF(ORÇAMENTO!$Z$15:$Z$22,"OU",ORÇAMENTO!$AB$15:$AB$22)</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SUMIF(CÁLCULO!$M$15:$M$22,PLE!$B1,OFFSET(CÁLCULO!$AA$15:$AA$22,0,PLE!A$12))</definedName>
    <definedName name="PO.ValoresBDI" hidden="1">OFFSET(ORÇAMENTO!$AH$15,1,0):OFFSET(ORÇAMENTO!$AH$22,-1,0)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1" i="5" l="1"/>
  <c r="C192" i="3"/>
  <c r="H23" i="13"/>
  <c r="G23" i="13"/>
  <c r="H22" i="13"/>
  <c r="G22" i="13"/>
  <c r="H21" i="13"/>
  <c r="G21" i="13"/>
  <c r="H20" i="13"/>
  <c r="G20" i="13"/>
  <c r="E20" i="13"/>
  <c r="H19" i="13"/>
  <c r="G19" i="13"/>
  <c r="H18" i="13"/>
  <c r="G18" i="13"/>
  <c r="H17" i="13"/>
  <c r="G17" i="13"/>
  <c r="H16" i="13"/>
  <c r="G16" i="13"/>
  <c r="H15" i="13"/>
  <c r="G15" i="13"/>
  <c r="H14" i="13"/>
  <c r="G14" i="13"/>
  <c r="E14" i="13"/>
  <c r="S23" i="11"/>
  <c r="J23" i="11"/>
  <c r="I23" i="13" s="1"/>
  <c r="D23" i="11"/>
  <c r="E23" i="13" s="1"/>
  <c r="S22" i="11"/>
  <c r="J22" i="11"/>
  <c r="I22" i="13" s="1"/>
  <c r="D22" i="11"/>
  <c r="E22" i="13" s="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20" i="5"/>
  <c r="A19" i="5"/>
  <c r="A18" i="5"/>
  <c r="A17" i="5"/>
  <c r="C16" i="5"/>
  <c r="F16" i="5" s="1"/>
  <c r="A16" i="5"/>
  <c r="R101" i="4"/>
  <c r="J105" i="4"/>
  <c r="J102" i="4"/>
  <c r="J101" i="4"/>
  <c r="J65" i="4"/>
  <c r="J62" i="4"/>
  <c r="J61" i="4"/>
  <c r="C188" i="3"/>
  <c r="A22" i="11" l="1"/>
  <c r="E18" i="13"/>
  <c r="A23" i="11"/>
  <c r="G16" i="5"/>
  <c r="I16" i="5"/>
  <c r="N16" i="5"/>
  <c r="D16" i="6" s="1"/>
  <c r="B16" i="5"/>
  <c r="A16" i="12"/>
  <c r="B16" i="6"/>
  <c r="E16" i="12"/>
  <c r="H16" i="5"/>
  <c r="W16" i="5" a="1"/>
  <c r="W16" i="5" s="1"/>
  <c r="H16" i="12" s="1" a="1"/>
  <c r="H16" i="12" s="1"/>
  <c r="AE16" i="5" a="1"/>
  <c r="AE16" i="5" s="1"/>
  <c r="B20" i="8"/>
  <c r="E19" i="13"/>
  <c r="A19" i="11"/>
  <c r="A17" i="11"/>
  <c r="C184" i="3"/>
  <c r="C183" i="3"/>
  <c r="C181" i="3"/>
  <c r="B23" i="8" l="1"/>
  <c r="M16" i="6"/>
  <c r="H16" i="6" a="1"/>
  <c r="H16" i="6" s="1"/>
  <c r="T16" i="5" s="1"/>
  <c r="G16" i="12" s="1" a="1"/>
  <c r="G16" i="12" s="1"/>
  <c r="G16" i="6"/>
  <c r="N16" i="6"/>
  <c r="AD16" i="5"/>
  <c r="E16" i="5"/>
  <c r="F16" i="6"/>
  <c r="AC22" i="5" a="1"/>
  <c r="AC22" i="5" s="1"/>
  <c r="B26" i="8" l="1"/>
  <c r="B14" i="11"/>
  <c r="A14" i="13"/>
  <c r="L14" i="6"/>
  <c r="AE7" i="10" a="1"/>
  <c r="AE7" i="10" s="1"/>
  <c r="AE6" i="10" a="1"/>
  <c r="AE6" i="10" s="1"/>
  <c r="V7" i="10" a="1"/>
  <c r="V7" i="10" s="1"/>
  <c r="V6" i="10" a="1"/>
  <c r="V6" i="10" s="1"/>
  <c r="D29" i="12" a="1"/>
  <c r="D29"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C14" i="13" l="1"/>
  <c r="K14" i="11" a="1"/>
  <c r="K14" i="11" s="1"/>
  <c r="J14" i="13" s="1"/>
  <c r="G14" i="11"/>
  <c r="F14" i="13" s="1"/>
  <c r="L17" i="6"/>
  <c r="B29" i="8"/>
  <c r="AF16" i="5" a="1"/>
  <c r="AF16" i="5" s="1"/>
  <c r="C17" i="5"/>
  <c r="AF17" i="5" s="1" a="1"/>
  <c r="AF17" i="5" s="1"/>
  <c r="B14" i="6"/>
  <c r="O8" i="5"/>
  <c r="F11" i="5"/>
  <c r="AG17" i="5" l="1" a="1"/>
  <c r="AG17" i="5" s="1"/>
  <c r="S17" i="5" a="1"/>
  <c r="S17" i="5" s="1"/>
  <c r="F17" i="12" s="1" a="1"/>
  <c r="F17" i="12" s="1"/>
  <c r="B17" i="6"/>
  <c r="AG16" i="5" a="1"/>
  <c r="AG16" i="5" s="1"/>
  <c r="S16" i="5" a="1"/>
  <c r="S16" i="5" s="1"/>
  <c r="B32" i="8"/>
  <c r="A17" i="12"/>
  <c r="AE17" i="5" a="1"/>
  <c r="AE17" i="5" s="1"/>
  <c r="H17" i="5"/>
  <c r="AD17" i="5"/>
  <c r="G17" i="5"/>
  <c r="F17" i="5"/>
  <c r="B17" i="5"/>
  <c r="E17" i="12"/>
  <c r="E17" i="5"/>
  <c r="N17" i="5"/>
  <c r="F14" i="6"/>
  <c r="D14" i="6"/>
  <c r="C171" i="3"/>
  <c r="C170" i="3"/>
  <c r="C169" i="3"/>
  <c r="C166" i="3"/>
  <c r="C160" i="3"/>
  <c r="C159" i="3"/>
  <c r="F16" i="12" l="1" a="1"/>
  <c r="F16" i="12" s="1"/>
  <c r="B35" i="8"/>
  <c r="F17" i="6"/>
  <c r="D17" i="6"/>
  <c r="G14" i="6"/>
  <c r="H14" i="6" a="1"/>
  <c r="H14" i="6" s="1"/>
  <c r="X9" i="5"/>
  <c r="W9" i="5"/>
  <c r="V9" i="5"/>
  <c r="U9" i="5"/>
  <c r="T9" i="5"/>
  <c r="L18" i="6" l="1"/>
  <c r="B38" i="8"/>
  <c r="C18" i="5"/>
  <c r="G17" i="6"/>
  <c r="C177" i="3"/>
  <c r="C175" i="3"/>
  <c r="A18" i="12" l="1"/>
  <c r="H18" i="5"/>
  <c r="AE18" i="5" a="1"/>
  <c r="AE18" i="5" s="1"/>
  <c r="AD18" i="5"/>
  <c r="G18" i="5"/>
  <c r="E18" i="5"/>
  <c r="D18" i="5"/>
  <c r="B18" i="12" s="1"/>
  <c r="K18" i="5"/>
  <c r="N18" i="5"/>
  <c r="D18" i="6" s="1"/>
  <c r="J18" i="5"/>
  <c r="F18" i="5"/>
  <c r="B18" i="5"/>
  <c r="B41" i="8"/>
  <c r="B18" i="6"/>
  <c r="C157" i="3"/>
  <c r="C173" i="3"/>
  <c r="C167" i="3"/>
  <c r="C164" i="3"/>
  <c r="C163" i="3"/>
  <c r="C161" i="3"/>
  <c r="B44" i="8" l="1"/>
  <c r="C153" i="3"/>
  <c r="C151" i="3"/>
  <c r="B47" i="8" l="1"/>
  <c r="C19" i="5"/>
  <c r="L19" i="6"/>
  <c r="A12" i="6"/>
  <c r="A19" i="12" l="1"/>
  <c r="F19" i="5"/>
  <c r="E19" i="5"/>
  <c r="B19" i="5"/>
  <c r="N19" i="5"/>
  <c r="D19" i="6" s="1"/>
  <c r="C20" i="5"/>
  <c r="C21" i="5" s="1"/>
  <c r="AE19" i="5" a="1"/>
  <c r="AE19" i="5" s="1"/>
  <c r="H19" i="5"/>
  <c r="AD19" i="5"/>
  <c r="G19" i="5"/>
  <c r="AF19" i="5" a="1"/>
  <c r="AF19" i="5" s="1"/>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B50" i="8"/>
  <c r="L20" i="6"/>
  <c r="L21" i="6" s="1"/>
  <c r="B19" i="6"/>
  <c r="A14" i="6"/>
  <c r="A11" i="6"/>
  <c r="C147" i="3"/>
  <c r="C149" i="3"/>
  <c r="C145" i="3"/>
  <c r="C143" i="3"/>
  <c r="C141" i="3"/>
  <c r="U11" i="4"/>
  <c r="U10" i="4"/>
  <c r="Y26" i="4"/>
  <c r="Z26" i="4" s="1"/>
  <c r="Y106" i="4"/>
  <c r="Z106" i="4" s="1"/>
  <c r="Y66" i="4"/>
  <c r="Z66" i="4" s="1"/>
  <c r="R64" i="4"/>
  <c r="R63" i="4"/>
  <c r="R23" i="4"/>
  <c r="R24" i="4"/>
  <c r="C133" i="3"/>
  <c r="B21" i="6" l="1"/>
  <c r="A21" i="12"/>
  <c r="AE21" i="5" a="1"/>
  <c r="AE21" i="5" s="1"/>
  <c r="D21" i="5"/>
  <c r="B21" i="12" s="1"/>
  <c r="AD21" i="5"/>
  <c r="K21" i="5"/>
  <c r="J21" i="5"/>
  <c r="N21" i="5"/>
  <c r="D21" i="6" s="1"/>
  <c r="E19" i="12"/>
  <c r="F19" i="6"/>
  <c r="S19" i="5" a="1"/>
  <c r="S19" i="5" s="1"/>
  <c r="F19" i="12" s="1" a="1"/>
  <c r="F19" i="12" s="1"/>
  <c r="AG19" i="5" a="1"/>
  <c r="AG19" i="5" s="1"/>
  <c r="A20" i="12"/>
  <c r="N20" i="5"/>
  <c r="D20" i="6" s="1"/>
  <c r="K20" i="5"/>
  <c r="AE20" i="5" a="1"/>
  <c r="AE20" i="5" s="1"/>
  <c r="H20" i="5"/>
  <c r="H21" i="5" s="1"/>
  <c r="AD20" i="5"/>
  <c r="G20" i="5"/>
  <c r="G21" i="5" s="1"/>
  <c r="B20" i="5"/>
  <c r="B21" i="5" s="1"/>
  <c r="J20" i="5"/>
  <c r="F20" i="5"/>
  <c r="F21" i="5" s="1"/>
  <c r="E20" i="5"/>
  <c r="E21" i="5" s="1"/>
  <c r="D20" i="5"/>
  <c r="B20" i="12" s="1"/>
  <c r="B20" i="6"/>
  <c r="B53" i="8"/>
  <c r="X26" i="4"/>
  <c r="X106" i="4"/>
  <c r="X66" i="4"/>
  <c r="C137" i="3"/>
  <c r="C135" i="3"/>
  <c r="C132" i="3"/>
  <c r="A17" i="6" l="1"/>
  <c r="B56" i="8"/>
  <c r="G19"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N17" i="6"/>
  <c r="J4" i="15"/>
  <c r="AB13" i="12" a="1"/>
  <c r="AB13" i="12" s="1"/>
  <c r="I69" i="10"/>
  <c r="AO23" i="13" l="1"/>
  <c r="AO21" i="13"/>
  <c r="AO19" i="13"/>
  <c r="AO17" i="13"/>
  <c r="AO15" i="13"/>
  <c r="G162" i="8" a="1"/>
  <c r="G162" i="8" s="1"/>
  <c r="G156" i="8" a="1"/>
  <c r="G156" i="8" s="1"/>
  <c r="G150" i="8" a="1"/>
  <c r="G150" i="8" s="1"/>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G153" i="8" a="1"/>
  <c r="G153" i="8" s="1"/>
  <c r="AL21" i="13"/>
  <c r="AJ19" i="13" a="1"/>
  <c r="AJ19" i="13" s="1"/>
  <c r="AL15" i="13"/>
  <c r="AO20" i="13"/>
  <c r="AM18" i="13" a="1"/>
  <c r="AM18" i="13" s="1"/>
  <c r="AO14" i="13"/>
  <c r="AK21" i="13" a="1"/>
  <c r="AK21" i="13" s="1"/>
  <c r="AL18" i="13"/>
  <c r="AK15" i="13" a="1"/>
  <c r="AK15" i="13" s="1"/>
  <c r="AJ23" i="13" a="1"/>
  <c r="AJ23" i="13" s="1"/>
  <c r="AM22" i="13" a="1"/>
  <c r="AM22" i="13" s="1"/>
  <c r="AM21" i="13" a="1"/>
  <c r="AM21" i="13" s="1"/>
  <c r="G159" i="8" a="1"/>
  <c r="G159" i="8" s="1"/>
  <c r="AL22" i="13"/>
  <c r="G147" i="8" a="1"/>
  <c r="G147" i="8" s="1"/>
  <c r="G138" i="8" a="1"/>
  <c r="G138" i="8" s="1"/>
  <c r="AM16" i="13" a="1"/>
  <c r="AM16" i="13" s="1"/>
  <c r="AM15" i="13" a="1"/>
  <c r="AM15" i="13" s="1"/>
  <c r="G120" i="8" a="1"/>
  <c r="G120" i="8" s="1"/>
  <c r="AO18" i="13"/>
  <c r="AJ17" i="13" a="1"/>
  <c r="AJ17" i="13" s="1"/>
  <c r="AK19" i="13" a="1"/>
  <c r="AK19" i="13" s="1"/>
  <c r="AL19" i="13"/>
  <c r="G126" i="8" a="1"/>
  <c r="G126" i="8" s="1"/>
  <c r="AL16" i="13"/>
  <c r="G141" i="8" a="1"/>
  <c r="G141" i="8" s="1"/>
  <c r="G117" i="8" a="1"/>
  <c r="G117" i="8" s="1"/>
  <c r="G123" i="8" a="1"/>
  <c r="G123" i="8" s="1"/>
  <c r="G144" i="8" a="1"/>
  <c r="G144" i="8" s="1"/>
  <c r="G111" i="8" a="1"/>
  <c r="G111" i="8" s="1"/>
  <c r="G102" i="8" a="1"/>
  <c r="G102" i="8" s="1"/>
  <c r="G108" i="8" a="1"/>
  <c r="G108" i="8" s="1"/>
  <c r="G96" i="8" a="1"/>
  <c r="G96" i="8" s="1"/>
  <c r="AN18" i="13" a="1"/>
  <c r="AN18" i="13" s="1"/>
  <c r="G132" i="8" a="1"/>
  <c r="G132" i="8" s="1"/>
  <c r="G84" i="8" a="1"/>
  <c r="G84" i="8" s="1"/>
  <c r="G78" i="8" a="1"/>
  <c r="G78" i="8" s="1"/>
  <c r="G72" i="8" a="1"/>
  <c r="G72" i="8" s="1"/>
  <c r="G66" i="8" a="1"/>
  <c r="G66" i="8" s="1"/>
  <c r="G60" i="8" a="1"/>
  <c r="G60" i="8" s="1"/>
  <c r="G54" i="8" a="1"/>
  <c r="G54" i="8" s="1"/>
  <c r="G135" i="8" a="1"/>
  <c r="G135" i="8" s="1"/>
  <c r="G99" i="8" a="1"/>
  <c r="G99" i="8" s="1"/>
  <c r="G129" i="8" a="1"/>
  <c r="G129" i="8" s="1"/>
  <c r="G90" i="8" a="1"/>
  <c r="G90" i="8" s="1"/>
  <c r="G69" i="8" a="1"/>
  <c r="G69" i="8" s="1"/>
  <c r="G42" i="8" a="1"/>
  <c r="G42" i="8" s="1"/>
  <c r="G36" i="8" a="1"/>
  <c r="G36" i="8" s="1"/>
  <c r="G30" i="8" a="1"/>
  <c r="G30" i="8" s="1"/>
  <c r="G24" i="8" a="1"/>
  <c r="G24" i="8" s="1"/>
  <c r="G18" i="8" a="1"/>
  <c r="G18" i="8" s="1"/>
  <c r="G87" i="8" a="1"/>
  <c r="G87" i="8" s="1"/>
  <c r="G114" i="8" a="1"/>
  <c r="G114" i="8" s="1"/>
  <c r="G48" i="8" a="1"/>
  <c r="G48" i="8" s="1"/>
  <c r="G93" i="8" a="1"/>
  <c r="G93" i="8" s="1"/>
  <c r="G75" i="8" a="1"/>
  <c r="G75" i="8" s="1"/>
  <c r="G21" i="8" a="1"/>
  <c r="G21" i="8" s="1"/>
  <c r="G57" i="8" a="1"/>
  <c r="G57" i="8" s="1"/>
  <c r="G51" i="8" a="1"/>
  <c r="G51" i="8" s="1"/>
  <c r="G15" i="8" a="1"/>
  <c r="G15" i="8" s="1"/>
  <c r="G81" i="8" a="1"/>
  <c r="G81" i="8" s="1"/>
  <c r="G45" i="8" a="1"/>
  <c r="G45" i="8" s="1"/>
  <c r="G33" i="8" a="1"/>
  <c r="G33" i="8" s="1"/>
  <c r="G63" i="8" a="1"/>
  <c r="G63" i="8" s="1"/>
  <c r="G39" i="8" a="1"/>
  <c r="G39" i="8" s="1"/>
  <c r="G27" i="8" a="1"/>
  <c r="G27" i="8" s="1"/>
  <c r="G105" i="8" a="1"/>
  <c r="G105" i="8" s="1"/>
  <c r="P7" i="13"/>
  <c r="K14" i="13" a="1"/>
  <c r="K14" i="13" s="1"/>
  <c r="B62" i="8"/>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B65" i="8" l="1"/>
  <c r="A18" i="6"/>
  <c r="C14" i="14" a="1"/>
  <c r="C14" i="14" s="1"/>
  <c r="B39" i="14" a="1"/>
  <c r="B39" i="14" s="1"/>
  <c r="B37" i="14" a="1"/>
  <c r="B37" i="14" s="1"/>
  <c r="E28" i="14" a="1"/>
  <c r="E28" i="14" s="1"/>
  <c r="R1" i="6" a="1"/>
  <c r="R1" i="6" s="1"/>
  <c r="S67" i="4"/>
  <c r="U67" i="4" s="1"/>
  <c r="S107" i="4"/>
  <c r="U107" i="4" s="1"/>
  <c r="S27" i="4"/>
  <c r="U27" i="4" s="1"/>
  <c r="C124" i="3"/>
  <c r="B68" i="8" l="1"/>
  <c r="N18" i="6"/>
  <c r="S1" i="6" a="1"/>
  <c r="S1" i="6" s="1"/>
  <c r="H67" i="9"/>
  <c r="B71" i="8" l="1"/>
  <c r="T1" i="6" a="1"/>
  <c r="T1" i="6" s="1"/>
  <c r="C94" i="3"/>
  <c r="C92" i="3"/>
  <c r="B74" i="8" l="1"/>
  <c r="A19" i="6"/>
  <c r="U1" i="6" a="1"/>
  <c r="U1" i="6" s="1"/>
  <c r="C98" i="3"/>
  <c r="B77" i="8" l="1"/>
  <c r="N19" i="6"/>
  <c r="A20" i="6"/>
  <c r="A21" i="6" s="1"/>
  <c r="V1" i="6" a="1"/>
  <c r="V1" i="6" s="1"/>
  <c r="C5" i="14"/>
  <c r="N21" i="6" l="1"/>
  <c r="N20" i="6"/>
  <c r="B80" i="8"/>
  <c r="W1" i="6" a="1"/>
  <c r="W1" i="6" s="1"/>
  <c r="S12" i="11"/>
  <c r="B83" i="8" l="1"/>
  <c r="X1" i="6" a="1"/>
  <c r="X1" i="6" s="1"/>
  <c r="C1" i="7" a="1"/>
  <c r="C1" i="7" s="1"/>
  <c r="B86" i="8" l="1"/>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B89" i="8" l="1"/>
  <c r="Z1" i="6" a="1"/>
  <c r="Z1" i="6" s="1"/>
  <c r="D27" i="2"/>
  <c r="D15" i="2"/>
  <c r="D35" i="2"/>
  <c r="D3" i="2"/>
  <c r="B92" i="8" l="1"/>
  <c r="H10" i="7"/>
  <c r="B95" i="8" l="1"/>
  <c r="AG176" i="8"/>
  <c r="B98" i="8" l="1"/>
  <c r="C103" i="3"/>
  <c r="C100" i="3"/>
  <c r="C96" i="3"/>
  <c r="B101" i="8" l="1"/>
  <c r="C93" i="3"/>
  <c r="B104" i="8" l="1"/>
  <c r="C112" i="3"/>
  <c r="C108" i="3"/>
  <c r="C70" i="3"/>
  <c r="L35" i="13"/>
  <c r="L34" i="13" s="1"/>
  <c r="C84" i="3"/>
  <c r="B107" i="8" l="1"/>
  <c r="C56" i="3"/>
  <c r="B110" i="8" l="1"/>
  <c r="Q13" i="6"/>
  <c r="A1" i="7"/>
  <c r="V70" i="7" a="1"/>
  <c r="V70" i="7" s="1"/>
  <c r="Y5" i="7"/>
  <c r="X5" i="7"/>
  <c r="P5" i="7"/>
  <c r="C60" i="3"/>
  <c r="F5" i="7"/>
  <c r="B113" i="8" l="1"/>
  <c r="R13" i="6"/>
  <c r="S13" i="6" s="1"/>
  <c r="V71" i="7"/>
  <c r="V72" i="7"/>
  <c r="N5" i="7"/>
  <c r="O5" i="7"/>
  <c r="B116" i="8" l="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B119" i="8" l="1"/>
  <c r="U13" i="6"/>
  <c r="V77" i="9"/>
  <c r="V78" i="9"/>
  <c r="L70" i="7" a="1"/>
  <c r="L72" i="7" s="1"/>
  <c r="D68" i="7"/>
  <c r="C5" i="7"/>
  <c r="B122" i="8" l="1"/>
  <c r="V13" i="6"/>
  <c r="L70" i="7"/>
  <c r="L71" i="7"/>
  <c r="C69" i="3"/>
  <c r="C86" i="3"/>
  <c r="C81" i="3"/>
  <c r="C80" i="3"/>
  <c r="C79" i="3"/>
  <c r="C76" i="3"/>
  <c r="C75" i="3"/>
  <c r="C74" i="3"/>
  <c r="C67" i="3"/>
  <c r="C65" i="3"/>
  <c r="C64" i="3"/>
  <c r="C61" i="3"/>
  <c r="C62" i="3"/>
  <c r="C59" i="3"/>
  <c r="C58" i="3"/>
  <c r="C72" i="3"/>
  <c r="S108" i="4" a="1"/>
  <c r="S108" i="4" s="1"/>
  <c r="S68" i="4" a="1"/>
  <c r="S68" i="4" s="1"/>
  <c r="S28" i="4" a="1"/>
  <c r="S28" i="4" s="1"/>
  <c r="B125" i="8" l="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28" i="6" a="1"/>
  <c r="T30" i="6" s="1"/>
  <c r="I28" i="6" a="1"/>
  <c r="I29"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31" i="12"/>
  <c r="E32" i="12"/>
  <c r="K34" i="12" a="1"/>
  <c r="K36" i="12" s="1"/>
  <c r="E10" i="6"/>
  <c r="I10" i="6"/>
  <c r="K10" i="6"/>
  <c r="S10" i="6"/>
  <c r="U10" i="6"/>
  <c r="O13" i="6"/>
  <c r="O15" i="6" s="1"/>
  <c r="O11" i="6" s="1"/>
  <c r="B15" i="6"/>
  <c r="C15" i="6"/>
  <c r="E15" i="6"/>
  <c r="B22" i="6"/>
  <c r="C22" i="6"/>
  <c r="F26"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32" i="5"/>
  <c r="O15" i="5"/>
  <c r="O35" i="5"/>
  <c r="T37" i="5" a="1"/>
  <c r="T37"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B128" i="8" l="1"/>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37" i="12"/>
  <c r="C21" i="4"/>
  <c r="C22" i="4"/>
  <c r="K132" i="4"/>
  <c r="W81" i="10"/>
  <c r="K34" i="12"/>
  <c r="T39" i="5"/>
  <c r="O7" i="13"/>
  <c r="T29" i="6"/>
  <c r="P125" i="4"/>
  <c r="I180" i="8"/>
  <c r="I30" i="6"/>
  <c r="I28"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35" i="12"/>
  <c r="B80" i="10"/>
  <c r="F29" i="6"/>
  <c r="O38" i="5"/>
  <c r="D36" i="11"/>
  <c r="W79" i="10"/>
  <c r="A4" i="4"/>
  <c r="K51" i="4"/>
  <c r="K35" i="12"/>
  <c r="S70" i="4"/>
  <c r="K91" i="4"/>
  <c r="T28" i="6"/>
  <c r="K90" i="4"/>
  <c r="T38" i="5"/>
  <c r="AB16" i="6" l="1"/>
  <c r="B131" i="8"/>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21" i="5" l="1"/>
  <c r="AD16" i="6"/>
  <c r="B134" i="8"/>
  <c r="AH19" i="5"/>
  <c r="AH16" i="5"/>
  <c r="AN16" i="5" s="1" a="1"/>
  <c r="AN16" i="5" s="1"/>
  <c r="AH17" i="5"/>
  <c r="AH18" i="5"/>
  <c r="AH20" i="5"/>
  <c r="M17"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AN21" i="5" l="1" a="1"/>
  <c r="AN21" i="5" s="1"/>
  <c r="W21" i="5" a="1"/>
  <c r="W21" i="5" s="1"/>
  <c r="H21" i="12" s="1" a="1"/>
  <c r="H21" i="12" s="1"/>
  <c r="AN19" i="5" a="1"/>
  <c r="AN19" i="5" s="1"/>
  <c r="W19" i="5" a="1"/>
  <c r="W19" i="5" s="1"/>
  <c r="H19" i="12" s="1" a="1"/>
  <c r="H19" i="12" s="1"/>
  <c r="B17" i="9"/>
  <c r="B137" i="8"/>
  <c r="AN20" i="5" a="1"/>
  <c r="AN20" i="5" s="1"/>
  <c r="W20" i="5" a="1"/>
  <c r="W20" i="5" s="1"/>
  <c r="H20" i="12" s="1" a="1"/>
  <c r="H20" i="12" s="1"/>
  <c r="AN18" i="5" a="1"/>
  <c r="AN18" i="5" s="1"/>
  <c r="W18" i="5" a="1"/>
  <c r="W18" i="5" s="1"/>
  <c r="H18" i="12" s="1" a="1"/>
  <c r="H18" i="12" s="1"/>
  <c r="AZ17" i="6" a="1"/>
  <c r="AZ17" i="6" s="1"/>
  <c r="AP17" i="6"/>
  <c r="BA17" i="6" a="1"/>
  <c r="BA17" i="6" s="1"/>
  <c r="AX17" i="6" a="1"/>
  <c r="AX17" i="6" s="1"/>
  <c r="AY17" i="6" a="1"/>
  <c r="AY17" i="6" s="1"/>
  <c r="AN17" i="6"/>
  <c r="AM17" i="6"/>
  <c r="AO17" i="6"/>
  <c r="AN17" i="5" a="1"/>
  <c r="AN17" i="5" s="1"/>
  <c r="W17" i="5" a="1"/>
  <c r="W17" i="5" s="1"/>
  <c r="H17" i="12" s="1" a="1"/>
  <c r="H17"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M18" i="6" l="1"/>
  <c r="BB18" i="6" s="1" a="1"/>
  <c r="BB18" i="6" s="1"/>
  <c r="AQ17" i="6"/>
  <c r="B18" i="9"/>
  <c r="BB17" i="6" a="1"/>
  <c r="BB17" i="6" s="1"/>
  <c r="B140" i="8"/>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19" i="6" l="1"/>
  <c r="AZ19" i="6" s="1" a="1"/>
  <c r="AZ19" i="6" s="1"/>
  <c r="AQ18" i="6"/>
  <c r="AZ18" i="6" a="1"/>
  <c r="AZ18" i="6" s="1"/>
  <c r="AN18" i="6"/>
  <c r="AP18" i="6"/>
  <c r="AM18" i="6"/>
  <c r="AY18" i="6" a="1"/>
  <c r="AY18" i="6" s="1"/>
  <c r="AX18" i="6" a="1"/>
  <c r="AX18" i="6" s="1"/>
  <c r="BA18" i="6" a="1"/>
  <c r="BA18" i="6" s="1"/>
  <c r="AO18" i="6"/>
  <c r="B143" i="8"/>
  <c r="AR17" i="6"/>
  <c r="AR18" i="6"/>
  <c r="BC17" i="6" a="1"/>
  <c r="BC17" i="6" s="1"/>
  <c r="BC18" i="6" a="1"/>
  <c r="BC18" i="6" s="1"/>
  <c r="AG16"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AM19" i="6" l="1"/>
  <c r="AX19" i="6" a="1"/>
  <c r="AX19" i="6" s="1"/>
  <c r="AP19" i="6"/>
  <c r="BA19" i="6" a="1"/>
  <c r="BA19" i="6" s="1"/>
  <c r="BC19" i="6" a="1"/>
  <c r="BC19" i="6" s="1"/>
  <c r="AQ19" i="6"/>
  <c r="AN19" i="6"/>
  <c r="M20" i="6"/>
  <c r="BB19" i="6" a="1"/>
  <c r="BB19" i="6" s="1"/>
  <c r="AR19" i="6"/>
  <c r="AY19" i="6" a="1"/>
  <c r="AY19" i="6" s="1"/>
  <c r="AO19" i="6"/>
  <c r="B146" i="8"/>
  <c r="BD19" i="6" a="1"/>
  <c r="BD19" i="6" s="1"/>
  <c r="BD18" i="6" a="1"/>
  <c r="BD18" i="6" s="1"/>
  <c r="BD17" i="6" a="1"/>
  <c r="BD17" i="6" s="1"/>
  <c r="AH16" i="6"/>
  <c r="AS19" i="6"/>
  <c r="AS17" i="6"/>
  <c r="AS18" i="6"/>
  <c r="B20" i="9"/>
  <c r="AB10" i="12"/>
  <c r="W69" i="10"/>
  <c r="W74" i="10" s="1"/>
  <c r="N12" i="9"/>
  <c r="J72" i="4"/>
  <c r="U8" i="4"/>
  <c r="BD12" i="6"/>
  <c r="AS12" i="6"/>
  <c r="AI13" i="6"/>
  <c r="AI12" i="6" s="1"/>
  <c r="BE13" i="6"/>
  <c r="AC12" i="8"/>
  <c r="AI13" i="12"/>
  <c r="K72" i="4"/>
  <c r="J112" i="4"/>
  <c r="AT13" i="6"/>
  <c r="O12" i="10"/>
  <c r="O11" i="10" s="1" a="1"/>
  <c r="O11" i="10" s="1"/>
  <c r="K32" i="4"/>
  <c r="J32" i="4"/>
  <c r="M21" i="6" l="1"/>
  <c r="AS20" i="6"/>
  <c r="BD20" i="6" a="1"/>
  <c r="BD20" i="6" s="1"/>
  <c r="AP20" i="6"/>
  <c r="AY20" i="6" a="1"/>
  <c r="AY20" i="6" s="1"/>
  <c r="AN20" i="6"/>
  <c r="AO20" i="6"/>
  <c r="AM20" i="6"/>
  <c r="AQ20" i="6"/>
  <c r="BA20" i="6" a="1"/>
  <c r="BA20" i="6" s="1"/>
  <c r="AX20" i="6" a="1"/>
  <c r="AX20" i="6" s="1"/>
  <c r="BC20" i="6" a="1"/>
  <c r="BC20" i="6" s="1"/>
  <c r="AZ20" i="6" a="1"/>
  <c r="AZ20" i="6" s="1"/>
  <c r="BB20" i="6" a="1"/>
  <c r="BB20" i="6" s="1"/>
  <c r="AR20" i="6"/>
  <c r="B149" i="8"/>
  <c r="AT20" i="6"/>
  <c r="AT19" i="6"/>
  <c r="AT18" i="6"/>
  <c r="AT17" i="6"/>
  <c r="BE19" i="6" a="1"/>
  <c r="BE19" i="6" s="1"/>
  <c r="BE20" i="6" a="1"/>
  <c r="BE20" i="6" s="1"/>
  <c r="BE17" i="6" a="1"/>
  <c r="BE17" i="6" s="1"/>
  <c r="BE18" i="6" a="1"/>
  <c r="BE18" i="6" s="1"/>
  <c r="B21" i="9"/>
  <c r="AI16" i="6"/>
  <c r="O12" i="9"/>
  <c r="Y69" i="10"/>
  <c r="Y74" i="10" s="1"/>
  <c r="T11" i="11"/>
  <c r="BE12" i="6"/>
  <c r="AT12" i="6"/>
  <c r="AJ13" i="6"/>
  <c r="AJ12" i="6" s="1"/>
  <c r="BF13" i="6"/>
  <c r="AD12" i="8"/>
  <c r="AJ13" i="12"/>
  <c r="AU13" i="6"/>
  <c r="P12" i="10"/>
  <c r="P11" i="10" s="1" a="1"/>
  <c r="P11" i="10" s="1"/>
  <c r="AP21" i="6" l="1"/>
  <c r="BE21" i="6" a="1"/>
  <c r="BE21" i="6" s="1"/>
  <c r="AU21" i="6"/>
  <c r="BF21" i="6" a="1"/>
  <c r="BF21" i="6" s="1"/>
  <c r="AX21" i="6" a="1"/>
  <c r="AX21" i="6" s="1"/>
  <c r="AR21" i="6"/>
  <c r="BC21" i="6" a="1"/>
  <c r="BC21" i="6" s="1"/>
  <c r="AQ21" i="6"/>
  <c r="BD21" i="6" a="1"/>
  <c r="BD21" i="6" s="1"/>
  <c r="AS21" i="6"/>
  <c r="AN21" i="6"/>
  <c r="BA21" i="6" a="1"/>
  <c r="BA21" i="6" s="1"/>
  <c r="AM21" i="6"/>
  <c r="AT21" i="6"/>
  <c r="BB21" i="6" a="1"/>
  <c r="BB21" i="6" s="1"/>
  <c r="AO21" i="6"/>
  <c r="AY21" i="6" a="1"/>
  <c r="AY21" i="6" s="1"/>
  <c r="AZ21" i="6" a="1"/>
  <c r="AZ21" i="6" s="1"/>
  <c r="B152" i="8"/>
  <c r="AU19" i="6"/>
  <c r="AU20" i="6"/>
  <c r="AU17" i="6"/>
  <c r="AU18" i="6"/>
  <c r="BF20" i="6" a="1"/>
  <c r="BF20" i="6" s="1"/>
  <c r="BF19" i="6" a="1"/>
  <c r="BF19" i="6" s="1"/>
  <c r="BF18" i="6" a="1"/>
  <c r="BF18" i="6" s="1"/>
  <c r="BF17" i="6" a="1"/>
  <c r="BF17" i="6" s="1"/>
  <c r="AJ16" i="6"/>
  <c r="B22" i="9"/>
  <c r="P12" i="9"/>
  <c r="AA69" i="10"/>
  <c r="AA74" i="10" s="1"/>
  <c r="BF12" i="6"/>
  <c r="AU12" i="6"/>
  <c r="AK13" i="6"/>
  <c r="BG13" i="6"/>
  <c r="AE12" i="8"/>
  <c r="AK13" i="12"/>
  <c r="AV13" i="6"/>
  <c r="Q12" i="10"/>
  <c r="Q11" i="10" s="1" a="1"/>
  <c r="Q11" i="10" s="1"/>
  <c r="BG21" i="6" l="1" a="1"/>
  <c r="BG21" i="6" s="1"/>
  <c r="AV21" i="6"/>
  <c r="AV19" i="6"/>
  <c r="AV20" i="6"/>
  <c r="AV17" i="6"/>
  <c r="AV18" i="6"/>
  <c r="B23" i="9"/>
  <c r="BG19" i="6" a="1"/>
  <c r="BG19" i="6" s="1"/>
  <c r="BG20" i="6" a="1"/>
  <c r="BG20" i="6" s="1"/>
  <c r="BG18" i="6" a="1"/>
  <c r="BG18" i="6" s="1"/>
  <c r="BG17" i="6" a="1"/>
  <c r="BG17" i="6" s="1"/>
  <c r="B155" i="8"/>
  <c r="AK12" i="6"/>
  <c r="Q12" i="9"/>
  <c r="AC69" i="10"/>
  <c r="AC74" i="10" s="1"/>
  <c r="BG12" i="6"/>
  <c r="AV12" i="6"/>
  <c r="AF12" i="8"/>
  <c r="AL13" i="12"/>
  <c r="R12" i="10"/>
  <c r="R11" i="10" s="1" a="1"/>
  <c r="R11" i="10" s="1"/>
  <c r="B24" i="9" l="1"/>
  <c r="B158" i="8"/>
  <c r="AK16" i="6"/>
  <c r="R12" i="9"/>
  <c r="AE69" i="10"/>
  <c r="AE74" i="10" s="1"/>
  <c r="AM13" i="12"/>
  <c r="S12" i="10"/>
  <c r="S11" i="10" s="1" a="1"/>
  <c r="S11" i="10" s="1"/>
  <c r="L21" i="12" l="1" a="1"/>
  <c r="L21" i="12" s="1"/>
  <c r="J21" i="12" a="1"/>
  <c r="J21" i="12" s="1"/>
  <c r="J20" i="12" a="1"/>
  <c r="J20" i="12" s="1"/>
  <c r="L20" i="12" a="1"/>
  <c r="L20" i="12" s="1"/>
  <c r="L18" i="12" a="1"/>
  <c r="L18" i="12" s="1"/>
  <c r="J18" i="12" a="1"/>
  <c r="J18" i="12" s="1"/>
  <c r="B161" i="8"/>
  <c r="B25" i="9"/>
  <c r="AO7" i="12" a="1"/>
  <c r="AO7" i="12" s="1"/>
  <c r="L14" i="12" a="1"/>
  <c r="L14" i="12" s="1"/>
  <c r="J14" i="12" a="1"/>
  <c r="J14" i="12" s="1"/>
  <c r="S12" i="9"/>
  <c r="T12" i="10"/>
  <c r="T11" i="10" s="1" a="1"/>
  <c r="T11" i="10" s="1"/>
  <c r="K21" i="12" l="1"/>
  <c r="K18" i="12"/>
  <c r="B26" i="9"/>
  <c r="K20" i="12"/>
  <c r="T12" i="9"/>
  <c r="K14" i="12"/>
  <c r="U12" i="10"/>
  <c r="U11" i="10" s="1" a="1"/>
  <c r="U11" i="10" s="1"/>
  <c r="B27" i="9" l="1"/>
  <c r="U12" i="9"/>
  <c r="V12" i="10"/>
  <c r="V11" i="10" s="1" a="1"/>
  <c r="V11" i="10" s="1"/>
  <c r="B28" i="9" l="1"/>
  <c r="V12" i="9"/>
  <c r="W12" i="10"/>
  <c r="W11" i="10" s="1" a="1"/>
  <c r="W11" i="10" s="1"/>
  <c r="B29" i="9" l="1"/>
  <c r="W12" i="9"/>
  <c r="X12" i="10"/>
  <c r="X11" i="10" s="1" a="1"/>
  <c r="X11" i="10" s="1"/>
  <c r="B30" i="9" l="1"/>
  <c r="X12" i="9"/>
  <c r="Y12" i="10"/>
  <c r="Y11" i="10" s="1" a="1"/>
  <c r="Y11" i="10" s="1"/>
  <c r="B31" i="9" l="1"/>
  <c r="Y12" i="9"/>
  <c r="Z12" i="10"/>
  <c r="Z11" i="10" s="1" a="1"/>
  <c r="Z11" i="10" s="1"/>
  <c r="B32" i="9" l="1"/>
  <c r="Z12" i="9"/>
  <c r="AA12" i="10"/>
  <c r="AA11" i="10" s="1" a="1"/>
  <c r="AA11" i="10" s="1"/>
  <c r="B33" i="9" l="1"/>
  <c r="AA12" i="9"/>
  <c r="AB12" i="10"/>
  <c r="AB11" i="10" s="1" a="1"/>
  <c r="AB11" i="10" s="1"/>
  <c r="B34" i="9" l="1"/>
  <c r="AB12" i="9"/>
  <c r="AC12" i="10"/>
  <c r="AC11" i="10" s="1" a="1"/>
  <c r="AC11" i="10" s="1"/>
  <c r="B35" i="9" l="1"/>
  <c r="AC12" i="9"/>
  <c r="AD12" i="10"/>
  <c r="AD11" i="10" s="1" a="1"/>
  <c r="AD11" i="10" s="1"/>
  <c r="B36" i="9" l="1"/>
  <c r="AD12" i="9"/>
  <c r="AE12" i="10"/>
  <c r="AE11" i="10" s="1" a="1"/>
  <c r="AE11" i="10" s="1"/>
  <c r="B37" i="9" l="1"/>
  <c r="AE12" i="9"/>
  <c r="AF12" i="10"/>
  <c r="AF11" i="10" s="1" a="1"/>
  <c r="AF11" i="10" s="1"/>
  <c r="B38" i="9" l="1"/>
  <c r="M1" i="6"/>
  <c r="H21" i="6" l="1" a="1"/>
  <c r="H21" i="6" s="1"/>
  <c r="B39" i="9"/>
  <c r="J16" i="6" a="1"/>
  <c r="J16" i="6" s="1"/>
  <c r="J17" i="6" a="1"/>
  <c r="J17" i="6" s="1"/>
  <c r="J19" i="6" a="1"/>
  <c r="J19" i="6" s="1"/>
  <c r="H19" i="6" a="1"/>
  <c r="H19" i="6" s="1"/>
  <c r="H17" i="6" a="1"/>
  <c r="H17" i="6" s="1"/>
  <c r="H20" i="6" a="1"/>
  <c r="H20" i="6" s="1"/>
  <c r="H18" i="6" a="1"/>
  <c r="H18"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1" i="5" l="1"/>
  <c r="AB21" i="6"/>
  <c r="AC21" i="6"/>
  <c r="AD21" i="6"/>
  <c r="AE21" i="6"/>
  <c r="AF21" i="6"/>
  <c r="AG21" i="6"/>
  <c r="AH21" i="6"/>
  <c r="AI21" i="6"/>
  <c r="AJ21" i="6"/>
  <c r="AK21" i="6"/>
  <c r="T18" i="5"/>
  <c r="AB18" i="6"/>
  <c r="AC18" i="6"/>
  <c r="AD18" i="6"/>
  <c r="AF18" i="6"/>
  <c r="AE18" i="6"/>
  <c r="AG18" i="6"/>
  <c r="AH18" i="6"/>
  <c r="AI18" i="6"/>
  <c r="AJ18" i="6"/>
  <c r="AK18" i="6"/>
  <c r="B40" i="9"/>
  <c r="T20" i="5"/>
  <c r="AB20" i="6"/>
  <c r="AC20" i="6"/>
  <c r="AD20" i="6"/>
  <c r="AF20" i="6"/>
  <c r="AE20" i="6"/>
  <c r="AG20" i="6"/>
  <c r="AH20" i="6"/>
  <c r="AI20" i="6"/>
  <c r="AJ20" i="6"/>
  <c r="AK20" i="6"/>
  <c r="T17" i="5"/>
  <c r="AB17" i="6"/>
  <c r="AC17" i="6"/>
  <c r="AD17" i="6"/>
  <c r="AF17" i="6"/>
  <c r="AE17" i="6"/>
  <c r="AG17" i="6"/>
  <c r="AH17" i="6"/>
  <c r="AI17" i="6"/>
  <c r="AJ17" i="6"/>
  <c r="AK17" i="6"/>
  <c r="T19" i="5"/>
  <c r="AB19" i="6"/>
  <c r="AC19" i="6"/>
  <c r="AD19" i="6"/>
  <c r="AF19" i="6"/>
  <c r="AE19" i="6"/>
  <c r="AG19" i="6"/>
  <c r="AH19" i="6"/>
  <c r="AI19" i="6"/>
  <c r="AJ19" i="6"/>
  <c r="AK19" i="6"/>
  <c r="I10" i="7"/>
  <c r="K13" i="7"/>
  <c r="L13" i="7" s="1"/>
  <c r="J10" i="7"/>
  <c r="G21" i="12" l="1" a="1"/>
  <c r="G21" i="12" s="1"/>
  <c r="X21" i="5" a="1"/>
  <c r="X21" i="5" s="1"/>
  <c r="B41" i="9"/>
  <c r="G19" i="12" a="1"/>
  <c r="G19" i="12" s="1"/>
  <c r="X20" i="5" a="1"/>
  <c r="X20" i="5" s="1"/>
  <c r="G17" i="12" a="1"/>
  <c r="G17" i="12" s="1"/>
  <c r="G20" i="12" a="1"/>
  <c r="G20" i="12" s="1"/>
  <c r="X18" i="5" a="1"/>
  <c r="X18" i="5" s="1"/>
  <c r="G18" i="12" a="1"/>
  <c r="G18" i="12" s="1"/>
  <c r="M13" i="7"/>
  <c r="L10" i="7"/>
  <c r="I21" i="12" l="1"/>
  <c r="L21" i="5"/>
  <c r="AM21" i="5"/>
  <c r="Z21" i="5"/>
  <c r="B42" i="9"/>
  <c r="I20" i="12"/>
  <c r="L20" i="5"/>
  <c r="AM20" i="5"/>
  <c r="Z20" i="5"/>
  <c r="I17" i="5"/>
  <c r="I18" i="5" s="1"/>
  <c r="I19" i="5" s="1"/>
  <c r="I20" i="5" s="1"/>
  <c r="I21" i="5" s="1"/>
  <c r="I18" i="12"/>
  <c r="AM18" i="5"/>
  <c r="L18" i="5"/>
  <c r="Z18" i="5"/>
  <c r="N13" i="7"/>
  <c r="M10" i="7"/>
  <c r="C21" i="6" l="1"/>
  <c r="C21" i="12"/>
  <c r="M21" i="12" a="1"/>
  <c r="M21" i="12" s="1"/>
  <c r="AO21" i="12" a="1"/>
  <c r="AO21" i="12" s="1"/>
  <c r="O21" i="12" a="1"/>
  <c r="O21" i="12" s="1"/>
  <c r="AB21" i="5" a="1"/>
  <c r="AB21" i="5" s="1"/>
  <c r="C20" i="6"/>
  <c r="C20" i="12"/>
  <c r="AO20" i="12" a="1"/>
  <c r="AO20" i="12" s="1"/>
  <c r="M20" i="12" a="1"/>
  <c r="M20" i="12" s="1"/>
  <c r="O20" i="12" a="1"/>
  <c r="O20" i="12" s="1"/>
  <c r="C18" i="6"/>
  <c r="AB18" i="5" a="1"/>
  <c r="AB18" i="5" s="1"/>
  <c r="C18" i="12"/>
  <c r="O18" i="12" a="1"/>
  <c r="O18" i="12" s="1"/>
  <c r="AO18" i="12" a="1"/>
  <c r="AO18" i="12" s="1"/>
  <c r="M18" i="12" a="1"/>
  <c r="M18" i="12" s="1"/>
  <c r="AB20" i="5" a="1"/>
  <c r="AB20" i="5" s="1"/>
  <c r="B43" i="9"/>
  <c r="O13" i="7"/>
  <c r="N10" i="7"/>
  <c r="N21" i="12" l="1"/>
  <c r="Y21" i="12"/>
  <c r="Y18" i="12"/>
  <c r="X18" i="12" s="1" a="1"/>
  <c r="X18" i="12" s="1"/>
  <c r="N20" i="12"/>
  <c r="Y20" i="12"/>
  <c r="X20" i="12" s="1" a="1"/>
  <c r="X20" i="12" s="1"/>
  <c r="N18" i="12"/>
  <c r="B44" i="9"/>
  <c r="P13" i="7"/>
  <c r="O10" i="7"/>
  <c r="W21" i="12" l="1" a="1"/>
  <c r="W21" i="12" s="1"/>
  <c r="X21" i="12" a="1"/>
  <c r="X21" i="12" s="1"/>
  <c r="W18" i="12" a="1"/>
  <c r="W18" i="12" s="1"/>
  <c r="V18" i="12" s="1" a="1"/>
  <c r="V18" i="12" s="1"/>
  <c r="W20" i="12" a="1"/>
  <c r="W20" i="12" s="1"/>
  <c r="V20" i="12" s="1" a="1"/>
  <c r="V20" i="12" s="1"/>
  <c r="B45" i="9"/>
  <c r="Q13" i="7"/>
  <c r="P10" i="7"/>
  <c r="T18" i="12" l="1"/>
  <c r="T21" i="12"/>
  <c r="V21" i="12" a="1"/>
  <c r="V21" i="12" s="1"/>
  <c r="U21" i="12"/>
  <c r="U18" i="12"/>
  <c r="U20" i="12"/>
  <c r="T20" i="12"/>
  <c r="B46" i="9"/>
  <c r="R13" i="7"/>
  <c r="Q10" i="7"/>
  <c r="B47" i="9" l="1"/>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175" i="8" s="1"/>
  <c r="B26" i="7" l="1"/>
  <c r="C27" i="7" a="1"/>
  <c r="C27" i="7" s="1"/>
  <c r="B27" i="10"/>
  <c r="A11" i="12"/>
  <c r="B28" i="10" l="1"/>
  <c r="B27" i="7"/>
  <c r="C28" i="7" a="1"/>
  <c r="C28" i="7" s="1"/>
  <c r="AO12" i="13"/>
  <c r="AL12" i="13"/>
  <c r="B29" i="10" l="1"/>
  <c r="C29" i="7" a="1"/>
  <c r="C29" i="7" s="1"/>
  <c r="B28" i="7"/>
  <c r="AN12" i="13" a="1"/>
  <c r="AN12" i="13" s="1"/>
  <c r="AK12" i="13" a="1"/>
  <c r="AK12" i="13" s="1"/>
  <c r="AJ12" i="13" a="1"/>
  <c r="AJ12" i="13" s="1"/>
  <c r="B30" i="10" l="1"/>
  <c r="C30" i="7" a="1"/>
  <c r="C30" i="7" s="1"/>
  <c r="B29" i="7"/>
  <c r="O15" i="12" a="1"/>
  <c r="O15" i="12" s="1"/>
  <c r="M15" i="12" a="1"/>
  <c r="M15" i="12" s="1"/>
  <c r="J14" i="6" a="1"/>
  <c r="J14" i="6" s="1"/>
  <c r="B31" i="10" l="1"/>
  <c r="C31" i="7" a="1"/>
  <c r="C31" i="7" s="1"/>
  <c r="B30" i="7"/>
  <c r="I15" i="12" a="1"/>
  <c r="I15" i="12" s="1"/>
  <c r="P11" i="12" s="1"/>
  <c r="O11"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AF175" i="8"/>
  <c r="Y175" i="8"/>
  <c r="H14" i="7"/>
  <c r="W175" i="8"/>
  <c r="AE175" i="8"/>
  <c r="X175" i="8"/>
  <c r="AD175" i="8"/>
  <c r="AC175" i="8"/>
  <c r="U175" i="8"/>
  <c r="V175" i="8"/>
  <c r="Z175" i="8"/>
  <c r="AB175" i="8"/>
  <c r="AA175"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I75" i="10"/>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176" i="8"/>
  <c r="V176" i="8"/>
  <c r="B50" i="10" l="1"/>
  <c r="C50" i="7" a="1"/>
  <c r="C50" i="7" s="1"/>
  <c r="B49" i="7"/>
  <c r="X176" i="8"/>
  <c r="W176" i="8"/>
  <c r="B51" i="10" l="1"/>
  <c r="C51" i="7" a="1"/>
  <c r="C51" i="7" s="1"/>
  <c r="B50" i="7"/>
  <c r="Y176" i="8"/>
  <c r="B52" i="10" l="1"/>
  <c r="C52" i="7" a="1"/>
  <c r="C52" i="7" s="1"/>
  <c r="B51" i="7"/>
  <c r="Z176" i="8"/>
  <c r="B52" i="7" l="1"/>
  <c r="C53" i="7" a="1"/>
  <c r="C53" i="7" s="1"/>
  <c r="B53" i="10"/>
  <c r="AB176" i="8"/>
  <c r="B54" i="10" l="1"/>
  <c r="C54" i="7" a="1"/>
  <c r="C54" i="7" s="1"/>
  <c r="B53" i="7"/>
  <c r="AC176" i="8"/>
  <c r="B54" i="7" l="1"/>
  <c r="C55" i="7" a="1"/>
  <c r="C55" i="7" s="1"/>
  <c r="B55" i="10"/>
  <c r="AD176" i="8"/>
  <c r="AE176"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176" i="8" l="1"/>
  <c r="AF176" i="8" l="1"/>
  <c r="T176" i="8" s="1"/>
  <c r="L22" i="6" l="1"/>
  <c r="A5" i="5"/>
  <c r="O21" i="5" s="1"/>
  <c r="E21" i="6" l="1"/>
  <c r="D21" i="12"/>
  <c r="O20" i="5"/>
  <c r="E20" i="6" s="1"/>
  <c r="O18" i="5"/>
  <c r="D18" i="12" s="1"/>
  <c r="K19" i="5"/>
  <c r="J19" i="5"/>
  <c r="J17" i="5"/>
  <c r="K17" i="5"/>
  <c r="F23" i="8" a="1"/>
  <c r="F23" i="8" s="1"/>
  <c r="F17" i="8" a="1"/>
  <c r="F17" i="8" s="1"/>
  <c r="F18" i="8" s="1"/>
  <c r="F20" i="8" a="1"/>
  <c r="F20" i="8" s="1"/>
  <c r="F29" i="8" a="1"/>
  <c r="F29" i="8" s="1"/>
  <c r="F26" i="8" a="1"/>
  <c r="F26" i="8" s="1"/>
  <c r="F14" i="8" a="1"/>
  <c r="F14" i="8" s="1"/>
  <c r="F15" i="8" s="1"/>
  <c r="F32" i="8" a="1"/>
  <c r="F32" i="8" s="1"/>
  <c r="F35" i="8" a="1"/>
  <c r="F35" i="8" s="1"/>
  <c r="F44" i="8" a="1"/>
  <c r="F44" i="8" s="1"/>
  <c r="F38" i="8" a="1"/>
  <c r="F38" i="8" s="1"/>
  <c r="F56" i="8" a="1"/>
  <c r="F56" i="8" s="1"/>
  <c r="F50" i="8" a="1"/>
  <c r="F50" i="8" s="1"/>
  <c r="F41" i="8" a="1"/>
  <c r="F41" i="8" s="1"/>
  <c r="F47" i="8" a="1"/>
  <c r="F47" i="8" s="1"/>
  <c r="F62" i="8" a="1"/>
  <c r="F62" i="8" s="1"/>
  <c r="F53" i="8" a="1"/>
  <c r="F53" i="8" s="1"/>
  <c r="F59" i="8" a="1"/>
  <c r="F59" i="8" s="1"/>
  <c r="F71" i="8" a="1"/>
  <c r="F71" i="8" s="1"/>
  <c r="F65" i="8" a="1"/>
  <c r="F65" i="8" s="1"/>
  <c r="F68" i="8" a="1"/>
  <c r="F68" i="8" s="1"/>
  <c r="F74" i="8" a="1"/>
  <c r="F74" i="8" s="1"/>
  <c r="F83" i="8" a="1"/>
  <c r="F83" i="8" s="1"/>
  <c r="F77" i="8" a="1"/>
  <c r="F77" i="8" s="1"/>
  <c r="F80" i="8" a="1"/>
  <c r="F80" i="8" s="1"/>
  <c r="F86" i="8" a="1"/>
  <c r="F86" i="8" s="1"/>
  <c r="F89" i="8" a="1"/>
  <c r="F89" i="8" s="1"/>
  <c r="F92" i="8" a="1"/>
  <c r="F92" i="8" s="1"/>
  <c r="F95" i="8" a="1"/>
  <c r="F95" i="8" s="1"/>
  <c r="F101" i="8" a="1"/>
  <c r="F101" i="8" s="1"/>
  <c r="F98" i="8" a="1"/>
  <c r="F98" i="8" s="1"/>
  <c r="F104" i="8" a="1"/>
  <c r="F104" i="8" s="1"/>
  <c r="F107" i="8" a="1"/>
  <c r="F107" i="8" s="1"/>
  <c r="F110" i="8" a="1"/>
  <c r="F110" i="8" s="1"/>
  <c r="F119" i="8" a="1"/>
  <c r="F119" i="8" s="1"/>
  <c r="F113" i="8" a="1"/>
  <c r="F113" i="8" s="1"/>
  <c r="F116" i="8" a="1"/>
  <c r="F116" i="8" s="1"/>
  <c r="F125" i="8" a="1"/>
  <c r="F125" i="8" s="1"/>
  <c r="F131" i="8" a="1"/>
  <c r="F131" i="8" s="1"/>
  <c r="F122" i="8" a="1"/>
  <c r="F122" i="8" s="1"/>
  <c r="F128" i="8" a="1"/>
  <c r="F128" i="8" s="1"/>
  <c r="F140" i="8" a="1"/>
  <c r="F140" i="8" s="1"/>
  <c r="F134" i="8" a="1"/>
  <c r="F134" i="8" s="1"/>
  <c r="F137" i="8" a="1"/>
  <c r="F137" i="8" s="1"/>
  <c r="F146" i="8" a="1"/>
  <c r="F146" i="8" s="1"/>
  <c r="F143" i="8" a="1"/>
  <c r="F143" i="8" s="1"/>
  <c r="F149" i="8" a="1"/>
  <c r="F149" i="8" s="1"/>
  <c r="F152" i="8" a="1"/>
  <c r="F152" i="8" s="1"/>
  <c r="F155" i="8" a="1"/>
  <c r="F155" i="8" s="1"/>
  <c r="F161" i="8" a="1"/>
  <c r="F161" i="8" s="1"/>
  <c r="F158" i="8" a="1"/>
  <c r="F158" i="8" s="1"/>
  <c r="F1" i="8" a="1"/>
  <c r="F1" i="8" s="1"/>
  <c r="F2" i="8" s="1"/>
  <c r="B21" i="11"/>
  <c r="A21" i="13"/>
  <c r="B16" i="11"/>
  <c r="A20" i="13"/>
  <c r="A23" i="13"/>
  <c r="A18" i="13"/>
  <c r="A15" i="13"/>
  <c r="B22" i="11"/>
  <c r="B23" i="11"/>
  <c r="A16" i="13"/>
  <c r="A19" i="13"/>
  <c r="A17" i="13"/>
  <c r="B19" i="11"/>
  <c r="B17" i="11"/>
  <c r="B20" i="11"/>
  <c r="B18" i="11"/>
  <c r="B15" i="11"/>
  <c r="K16" i="5"/>
  <c r="J16" i="5"/>
  <c r="A22" i="13"/>
  <c r="B12" i="11"/>
  <c r="A12" i="13"/>
  <c r="D20" i="12" l="1"/>
  <c r="E18" i="6"/>
  <c r="D19" i="5"/>
  <c r="B19" i="12" s="1"/>
  <c r="D17" i="5"/>
  <c r="B17" i="12" s="1"/>
  <c r="B20" i="13"/>
  <c r="AG20" i="13" s="1" a="1"/>
  <c r="AG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AF17" i="13" s="1" a="1"/>
  <c r="AF17" i="13" s="1"/>
  <c r="B12" i="13"/>
  <c r="AM12" i="13" s="1" a="1"/>
  <c r="AM12" i="13" s="1"/>
  <c r="C20" i="13"/>
  <c r="K20" i="11" a="1"/>
  <c r="K20" i="11" s="1"/>
  <c r="J20" i="13" s="1"/>
  <c r="G20" i="11"/>
  <c r="F20" i="13" s="1"/>
  <c r="O20" i="11" a="1"/>
  <c r="O20" i="11" s="1"/>
  <c r="AB20" i="11" a="1"/>
  <c r="AB20" i="11" s="1"/>
  <c r="N20" i="11" s="1"/>
  <c r="AA20" i="11" a="1"/>
  <c r="AA20" i="11" s="1"/>
  <c r="B21" i="13"/>
  <c r="AC21" i="13" s="1" a="1"/>
  <c r="AC21" i="13" s="1"/>
  <c r="B19" i="13"/>
  <c r="AG19" i="13" s="1" a="1"/>
  <c r="AG19" i="13" s="1"/>
  <c r="B16" i="13"/>
  <c r="AC16" i="13" s="1" a="1"/>
  <c r="AC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D22" i="13" s="1" a="1"/>
  <c r="AD22" i="13" s="1"/>
  <c r="B15" i="13"/>
  <c r="N1" i="8"/>
  <c r="M1" i="8"/>
  <c r="O1" i="8"/>
  <c r="Q1" i="8"/>
  <c r="J1" i="8"/>
  <c r="P1" i="8"/>
  <c r="I1" i="8"/>
  <c r="S1" i="8"/>
  <c r="B18" i="13"/>
  <c r="AG18" i="13" s="1" a="1"/>
  <c r="AG18" i="13" s="1"/>
  <c r="D16" i="5"/>
  <c r="G15" i="11"/>
  <c r="F15" i="13" s="1"/>
  <c r="C15" i="13"/>
  <c r="K15" i="11" a="1"/>
  <c r="K15" i="11" s="1"/>
  <c r="J15" i="13" s="1"/>
  <c r="F10" i="8" a="1"/>
  <c r="F10" i="8" s="1"/>
  <c r="B23" i="13"/>
  <c r="AE23" i="13" s="1"/>
  <c r="AD20" i="13" l="1" a="1"/>
  <c r="AD20" i="13" s="1"/>
  <c r="AE20" i="13"/>
  <c r="AH12" i="13"/>
  <c r="AH18" i="13"/>
  <c r="AH20" i="13"/>
  <c r="AC17" i="13" a="1"/>
  <c r="AC17" i="13" s="1"/>
  <c r="AC18" i="13" a="1"/>
  <c r="AC18" i="13" s="1"/>
  <c r="AD17" i="13" a="1"/>
  <c r="AD17" i="13" s="1"/>
  <c r="AH23" i="13"/>
  <c r="AC23" i="13" a="1"/>
  <c r="AC23" i="13" s="1"/>
  <c r="AE18" i="13"/>
  <c r="AH22" i="13"/>
  <c r="AH17" i="13"/>
  <c r="AC20" i="13" a="1"/>
  <c r="AC20" i="13" s="1"/>
  <c r="AE22" i="13"/>
  <c r="AE17" i="13"/>
  <c r="AF20" i="13" a="1"/>
  <c r="AF20" i="13" s="1"/>
  <c r="AG17" i="13" a="1"/>
  <c r="AG17" i="13" s="1"/>
  <c r="Q17" i="8"/>
  <c r="AG16" i="13" a="1"/>
  <c r="AG16" i="13" s="1"/>
  <c r="AD23" i="13" a="1"/>
  <c r="AD23" i="13" s="1"/>
  <c r="AG23" i="13" a="1"/>
  <c r="AG23" i="13" s="1"/>
  <c r="AH19" i="13"/>
  <c r="AF23" i="13" a="1"/>
  <c r="AF23" i="13" s="1"/>
  <c r="AF22" i="13" a="1"/>
  <c r="AF22" i="13" s="1"/>
  <c r="AF19" i="13" a="1"/>
  <c r="AF19" i="13" s="1"/>
  <c r="AF18" i="13" a="1"/>
  <c r="AF18" i="13" s="1"/>
  <c r="AE19" i="13"/>
  <c r="AD18" i="13" a="1"/>
  <c r="AD18" i="13" s="1"/>
  <c r="AD21" i="13" a="1"/>
  <c r="AD21" i="13" s="1"/>
  <c r="P22" i="11"/>
  <c r="L22" i="13"/>
  <c r="C22" i="11"/>
  <c r="Z22" i="11"/>
  <c r="AE16" i="13"/>
  <c r="AE21" i="13"/>
  <c r="AD12" i="13" a="1"/>
  <c r="AD12" i="13" s="1"/>
  <c r="K16" i="13" a="1"/>
  <c r="K16" i="13" s="1"/>
  <c r="U16" i="13"/>
  <c r="T16" i="13"/>
  <c r="M16" i="13"/>
  <c r="R16" i="13"/>
  <c r="O16" i="13"/>
  <c r="S16" i="13"/>
  <c r="AH16" i="13"/>
  <c r="AC19" i="13" a="1"/>
  <c r="AC19" i="13" s="1"/>
  <c r="AH21" i="13"/>
  <c r="AG12" i="13" a="1"/>
  <c r="AG12" i="13" s="1"/>
  <c r="Z21" i="11"/>
  <c r="C21" i="11"/>
  <c r="L21" i="13"/>
  <c r="P21" i="11"/>
  <c r="C18" i="11"/>
  <c r="L18" i="13"/>
  <c r="Z18" i="11"/>
  <c r="P18" i="11"/>
  <c r="AF16" i="13" a="1"/>
  <c r="AF16" i="13" s="1"/>
  <c r="AC12" i="13" a="1"/>
  <c r="AC12" i="13" s="1"/>
  <c r="O12" i="13"/>
  <c r="K12" i="13" a="1"/>
  <c r="K12" i="13" s="1"/>
  <c r="R12" i="13"/>
  <c r="S12" i="13"/>
  <c r="M12" i="13"/>
  <c r="U12" i="13"/>
  <c r="T12" i="13"/>
  <c r="AD19" i="13" a="1"/>
  <c r="AD19" i="13" s="1"/>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AG21" i="13" a="1"/>
  <c r="AG21" i="13" s="1"/>
  <c r="K20" i="13" a="1"/>
  <c r="K20" i="13" s="1"/>
  <c r="U20" i="13"/>
  <c r="T20" i="13"/>
  <c r="S20" i="13"/>
  <c r="R20" i="13"/>
  <c r="O20" i="13"/>
  <c r="M20" i="13"/>
  <c r="A14" i="8"/>
  <c r="S16" i="8"/>
  <c r="B16" i="12"/>
  <c r="B14" i="13"/>
  <c r="D15" i="5"/>
  <c r="AC22" i="13" a="1"/>
  <c r="AC22" i="13" s="1"/>
  <c r="AG22" i="13" a="1"/>
  <c r="AG22" i="13" s="1"/>
  <c r="AF21" i="13" a="1"/>
  <c r="AF21" i="13" s="1"/>
  <c r="AF12" i="13" a="1"/>
  <c r="AF12" i="13" s="1"/>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AD16" i="13" a="1"/>
  <c r="AD16" i="13" s="1"/>
  <c r="K15" i="13" a="1"/>
  <c r="K15" i="13" s="1"/>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N16" i="13"/>
  <c r="P16" i="13"/>
  <c r="D22" i="13"/>
  <c r="D19" i="13"/>
  <c r="J20" i="8"/>
  <c r="M20" i="8"/>
  <c r="P21" i="13"/>
  <c r="N21" i="13"/>
  <c r="D23" i="13"/>
  <c r="D21" i="13"/>
  <c r="D16" i="13"/>
  <c r="D12" i="13"/>
  <c r="V12" i="13"/>
  <c r="N18" i="13"/>
  <c r="P18" i="13"/>
  <c r="P20" i="13"/>
  <c r="N20" i="13"/>
  <c r="Q20" i="8" l="1"/>
  <c r="S22" i="8"/>
  <c r="F24" i="8"/>
  <c r="P20" i="8"/>
  <c r="M23" i="8" l="1"/>
  <c r="J23" i="8"/>
  <c r="Q23" i="8" l="1"/>
  <c r="P23" i="8"/>
  <c r="S25" i="8"/>
  <c r="F27" i="8"/>
  <c r="M26" i="8" l="1"/>
  <c r="J26" i="8"/>
  <c r="S28" i="8" l="1"/>
  <c r="F30" i="8"/>
  <c r="Q26" i="8"/>
  <c r="P26" i="8"/>
  <c r="M29" i="8" l="1"/>
  <c r="J29" i="8"/>
  <c r="C17" i="9"/>
  <c r="F17" i="9" s="1"/>
  <c r="C16" i="9"/>
  <c r="F16" i="9" s="1"/>
  <c r="A16" i="9"/>
  <c r="A17" i="9"/>
  <c r="A19" i="9"/>
  <c r="A18" i="9"/>
  <c r="C18" i="9"/>
  <c r="F18" i="9" s="1"/>
  <c r="C23" i="9"/>
  <c r="F23" i="9" s="1"/>
  <c r="C19" i="9"/>
  <c r="F19" i="9" s="1"/>
  <c r="A23" i="9"/>
  <c r="A20" i="9"/>
  <c r="C20" i="9"/>
  <c r="F20" i="9" s="1"/>
  <c r="A22" i="9"/>
  <c r="C22" i="9"/>
  <c r="F22" i="9" s="1"/>
  <c r="A21" i="9"/>
  <c r="C21" i="9"/>
  <c r="F21" i="9" s="1"/>
  <c r="C24" i="9"/>
  <c r="F24" i="9" s="1"/>
  <c r="C25" i="9"/>
  <c r="F25" i="9" s="1"/>
  <c r="A27" i="9"/>
  <c r="A26" i="9"/>
  <c r="C26" i="9"/>
  <c r="F26" i="9" s="1"/>
  <c r="A24" i="9"/>
  <c r="A25" i="9"/>
  <c r="C27" i="9"/>
  <c r="F27" i="9" s="1"/>
  <c r="A30" i="9"/>
  <c r="A28" i="9"/>
  <c r="A31" i="9"/>
  <c r="C28" i="9"/>
  <c r="F28" i="9" s="1"/>
  <c r="C30" i="9"/>
  <c r="F30" i="9" s="1"/>
  <c r="C29" i="9"/>
  <c r="F29" i="9" s="1"/>
  <c r="A29" i="9"/>
  <c r="A33" i="9"/>
  <c r="A32" i="9"/>
  <c r="C32" i="9"/>
  <c r="F32" i="9" s="1"/>
  <c r="C31" i="9"/>
  <c r="F31" i="9" s="1"/>
  <c r="C33" i="9"/>
  <c r="F33" i="9" s="1"/>
  <c r="C36" i="9"/>
  <c r="F36" i="9" s="1"/>
  <c r="A35" i="9"/>
  <c r="C35" i="9"/>
  <c r="F35" i="9" s="1"/>
  <c r="C34" i="9"/>
  <c r="F34" i="9" s="1"/>
  <c r="A34" i="9"/>
  <c r="A36" i="9"/>
  <c r="A37" i="9"/>
  <c r="A40" i="9"/>
  <c r="C40" i="9"/>
  <c r="F40" i="9" s="1"/>
  <c r="C38" i="9"/>
  <c r="F38" i="9" s="1"/>
  <c r="C37" i="9"/>
  <c r="F37" i="9" s="1"/>
  <c r="A39" i="9"/>
  <c r="A38" i="9"/>
  <c r="C39" i="9"/>
  <c r="F39" i="9" s="1"/>
  <c r="A41" i="9"/>
  <c r="C41" i="9"/>
  <c r="F41" i="9" s="1"/>
  <c r="C43" i="9"/>
  <c r="F43" i="9" s="1"/>
  <c r="A42" i="9"/>
  <c r="C45" i="9"/>
  <c r="F45" i="9" s="1"/>
  <c r="C42" i="9"/>
  <c r="F42" i="9" s="1"/>
  <c r="A43" i="9"/>
  <c r="C44" i="9"/>
  <c r="F44" i="9" s="1"/>
  <c r="A47" i="9"/>
  <c r="A45" i="9"/>
  <c r="A44" i="9"/>
  <c r="C47" i="9"/>
  <c r="F47" i="9" s="1"/>
  <c r="C46" i="9"/>
  <c r="F46" i="9" s="1"/>
  <c r="A46" i="9"/>
  <c r="C49" i="9"/>
  <c r="F49" i="9" s="1"/>
  <c r="C48" i="9"/>
  <c r="F48" i="9" s="1"/>
  <c r="A48" i="9"/>
  <c r="A49" i="9"/>
  <c r="C51" i="9"/>
  <c r="F51" i="9" s="1"/>
  <c r="A50" i="9"/>
  <c r="A51" i="9"/>
  <c r="C50" i="9"/>
  <c r="F50" i="9" s="1"/>
  <c r="C54" i="9"/>
  <c r="F54" i="9" s="1"/>
  <c r="A52" i="9"/>
  <c r="C53" i="9"/>
  <c r="F53" i="9" s="1"/>
  <c r="C52" i="9"/>
  <c r="F52" i="9" s="1"/>
  <c r="A53" i="9"/>
  <c r="A54" i="9"/>
  <c r="C16" i="10"/>
  <c r="A16" i="10" s="1"/>
  <c r="C55" i="9"/>
  <c r="F55" i="9" s="1"/>
  <c r="A55" i="9"/>
  <c r="A57" i="9"/>
  <c r="C56" i="9"/>
  <c r="F56" i="9" s="1"/>
  <c r="C18" i="10"/>
  <c r="A18" i="10" s="1"/>
  <c r="A56" i="9"/>
  <c r="C17" i="10"/>
  <c r="A17" i="10" s="1"/>
  <c r="C19" i="10"/>
  <c r="A19" i="10" s="1"/>
  <c r="A58" i="9"/>
  <c r="C20" i="10"/>
  <c r="A20" i="10" s="1"/>
  <c r="C57" i="9"/>
  <c r="F57" i="9" s="1"/>
  <c r="C21" i="10"/>
  <c r="A21" i="10" s="1"/>
  <c r="A59" i="9"/>
  <c r="C59" i="9"/>
  <c r="F59" i="9" s="1"/>
  <c r="C23" i="10"/>
  <c r="A23" i="10" s="1"/>
  <c r="C58" i="9"/>
  <c r="F58" i="9" s="1"/>
  <c r="A61" i="9"/>
  <c r="C60" i="9"/>
  <c r="F60" i="9" s="1"/>
  <c r="C22" i="10"/>
  <c r="A22" i="10" s="1"/>
  <c r="A60" i="9"/>
  <c r="C24" i="10"/>
  <c r="A24" i="10" s="1"/>
  <c r="C61" i="9"/>
  <c r="F61" i="9" s="1"/>
  <c r="A62" i="9"/>
  <c r="C62" i="9"/>
  <c r="F62" i="9" s="1"/>
  <c r="A63" i="9"/>
  <c r="C64" i="9"/>
  <c r="F64" i="9" s="1"/>
  <c r="C63" i="9"/>
  <c r="F63" i="9" s="1"/>
  <c r="C26" i="10"/>
  <c r="A26" i="10" s="1"/>
  <c r="A64" i="9"/>
  <c r="C25" i="10"/>
  <c r="A25" i="10" s="1"/>
  <c r="C28" i="10"/>
  <c r="A28" i="10" s="1"/>
  <c r="C27" i="10"/>
  <c r="A27" i="10" s="1"/>
  <c r="C29" i="10"/>
  <c r="A29" i="10" s="1"/>
  <c r="C30" i="10"/>
  <c r="A30" i="10" s="1"/>
  <c r="C32" i="10"/>
  <c r="A32" i="10" s="1"/>
  <c r="C31" i="10"/>
  <c r="A31" i="10" s="1"/>
  <c r="C33" i="10"/>
  <c r="A33" i="10" s="1"/>
  <c r="C34" i="10"/>
  <c r="A34" i="10" s="1"/>
  <c r="C35" i="10"/>
  <c r="A35" i="10" s="1"/>
  <c r="C36" i="10"/>
  <c r="A36" i="10" s="1"/>
  <c r="C38" i="10"/>
  <c r="A38" i="10" s="1"/>
  <c r="C37" i="10"/>
  <c r="A37" i="10" s="1"/>
  <c r="C39" i="10"/>
  <c r="A39" i="10" s="1"/>
  <c r="C41" i="10"/>
  <c r="A41" i="10" s="1"/>
  <c r="C42" i="10"/>
  <c r="A42" i="10" s="1"/>
  <c r="C40" i="10"/>
  <c r="A40" i="10" s="1"/>
  <c r="C43" i="10"/>
  <c r="A43" i="10" s="1"/>
  <c r="C45" i="10"/>
  <c r="A45" i="10" s="1"/>
  <c r="C44" i="10"/>
  <c r="A44" i="10" s="1"/>
  <c r="C47" i="10"/>
  <c r="A47" i="10" s="1"/>
  <c r="C46" i="10"/>
  <c r="A46" i="10" s="1"/>
  <c r="C48" i="10"/>
  <c r="A48" i="10" s="1"/>
  <c r="C49" i="10"/>
  <c r="A49" i="10" s="1"/>
  <c r="C50" i="10"/>
  <c r="A50" i="10" s="1"/>
  <c r="C51" i="10"/>
  <c r="A51" i="10" s="1"/>
  <c r="C54" i="10"/>
  <c r="A54" i="10" s="1"/>
  <c r="C55" i="10"/>
  <c r="A55" i="10" s="1"/>
  <c r="C53" i="10"/>
  <c r="A53" i="10" s="1"/>
  <c r="C52" i="10"/>
  <c r="A52" i="10" s="1"/>
  <c r="C57" i="10"/>
  <c r="A57" i="10" s="1"/>
  <c r="C56" i="10"/>
  <c r="A56" i="10" s="1"/>
  <c r="C60" i="10"/>
  <c r="A60" i="10" s="1"/>
  <c r="C58" i="10"/>
  <c r="A58" i="10" s="1"/>
  <c r="C59" i="10"/>
  <c r="A59" i="10" s="1"/>
  <c r="C61" i="10"/>
  <c r="A61" i="10" s="1"/>
  <c r="A1" i="9"/>
  <c r="C64" i="10"/>
  <c r="A64" i="10" s="1"/>
  <c r="C62" i="10"/>
  <c r="A62" i="10" s="1"/>
  <c r="C63" i="10"/>
  <c r="A63" i="10" s="1"/>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AH15" i="13" l="1"/>
  <c r="O15" i="13" s="1"/>
  <c r="AE15" i="13"/>
  <c r="M15" i="13" s="1"/>
  <c r="AH14" i="13"/>
  <c r="O14" i="13" s="1"/>
  <c r="AE14" i="13"/>
  <c r="M14" i="13" s="1"/>
  <c r="AB15" i="6"/>
  <c r="Q15" i="6" s="1"/>
  <c r="Q11" i="6" s="1"/>
  <c r="S31" i="8"/>
  <c r="F33" i="8"/>
  <c r="P29" i="8"/>
  <c r="Q29" i="8"/>
  <c r="I73" i="10" a="1"/>
  <c r="I73" i="10" s="1"/>
  <c r="U73" i="10" a="1"/>
  <c r="U73" i="10" s="1"/>
  <c r="M73" i="10" a="1"/>
  <c r="M73" i="10" s="1"/>
  <c r="Y73" i="10" a="1"/>
  <c r="Y73" i="10" s="1"/>
  <c r="AC73" i="10" a="1"/>
  <c r="AC73" i="10" s="1"/>
  <c r="O73" i="10" a="1"/>
  <c r="O73" i="10" s="1"/>
  <c r="S73" i="10" a="1"/>
  <c r="S73" i="10" s="1"/>
  <c r="Q73" i="10" a="1"/>
  <c r="Q73" i="10" s="1"/>
  <c r="W73" i="10" a="1"/>
  <c r="W73" i="10" s="1"/>
  <c r="AA73" i="10" a="1"/>
  <c r="AA73" i="10" s="1"/>
  <c r="AE73" i="10" a="1"/>
  <c r="AE73" i="10" s="1"/>
  <c r="K73" i="10" a="1"/>
  <c r="K73" i="10" s="1"/>
  <c r="M28" i="13" l="1"/>
  <c r="N15" i="13"/>
  <c r="X19" i="5" a="1"/>
  <c r="X19" i="5" s="1"/>
  <c r="L19" i="5" s="1"/>
  <c r="AC19" i="5" s="1" a="1"/>
  <c r="AC19" i="5" s="1"/>
  <c r="X17" i="5" a="1"/>
  <c r="X17" i="5" s="1"/>
  <c r="AM17" i="5" s="1"/>
  <c r="N14" i="13"/>
  <c r="AA71" i="10"/>
  <c r="O28" i="13"/>
  <c r="D53" i="2" s="1" a="1"/>
  <c r="D53" i="2" s="1"/>
  <c r="AE71" i="10"/>
  <c r="K71" i="10"/>
  <c r="W71" i="10"/>
  <c r="Q71" i="10"/>
  <c r="S71" i="10"/>
  <c r="AC71" i="10"/>
  <c r="M32" i="8"/>
  <c r="J32" i="8"/>
  <c r="Y71" i="10"/>
  <c r="O71" i="10"/>
  <c r="M71" i="10"/>
  <c r="U71" i="10"/>
  <c r="I71" i="10" a="1"/>
  <c r="I71" i="10" s="1"/>
  <c r="X16" i="5" l="1" a="1"/>
  <c r="X16" i="5" s="1"/>
  <c r="L16" i="5" s="1"/>
  <c r="AC16" i="5" s="1" a="1"/>
  <c r="AC16" i="5" s="1"/>
  <c r="X15" i="5"/>
  <c r="K72" i="10" s="1"/>
  <c r="K75" i="10" s="1"/>
  <c r="O15" i="11" a="1"/>
  <c r="O15" i="11" s="1"/>
  <c r="S32" i="8" s="1"/>
  <c r="S26" i="8"/>
  <c r="Z19" i="5"/>
  <c r="AM19" i="5"/>
  <c r="I19" i="12"/>
  <c r="C19" i="12" s="1"/>
  <c r="S29" i="8"/>
  <c r="D54" i="2" a="1"/>
  <c r="D54" i="2" s="1"/>
  <c r="N28" i="13"/>
  <c r="E33" i="14" s="1"/>
  <c r="D47" i="2" a="1"/>
  <c r="D47" i="2" s="1"/>
  <c r="F33" i="14"/>
  <c r="D51" i="2" a="1"/>
  <c r="D51" i="2" s="1"/>
  <c r="D52" i="2" a="1"/>
  <c r="D52" i="2" s="1"/>
  <c r="C19" i="6"/>
  <c r="O19" i="5"/>
  <c r="Q32" i="8"/>
  <c r="S20" i="8"/>
  <c r="G20" i="8" s="1"/>
  <c r="Z17" i="5"/>
  <c r="L17" i="5"/>
  <c r="AC17" i="5" s="1" a="1"/>
  <c r="AC17" i="5" s="1"/>
  <c r="I17" i="12"/>
  <c r="J17" i="12" s="1" a="1"/>
  <c r="J17" i="12" s="1"/>
  <c r="D48" i="2" a="1"/>
  <c r="D48" i="2" s="1"/>
  <c r="AD6" i="13"/>
  <c r="AE6" i="13" s="1"/>
  <c r="P32" i="8"/>
  <c r="S17" i="8"/>
  <c r="S34" i="8"/>
  <c r="F36" i="8"/>
  <c r="D46" i="2" l="1"/>
  <c r="S23" i="8"/>
  <c r="G23" i="8" s="1"/>
  <c r="O14" i="11" a="1"/>
  <c r="O14" i="11" s="1"/>
  <c r="C14" i="11" s="1"/>
  <c r="Y72" i="10"/>
  <c r="Y75" i="10" s="1"/>
  <c r="M70" i="10"/>
  <c r="Z15" i="5"/>
  <c r="U70" i="10"/>
  <c r="S14" i="8"/>
  <c r="G14" i="8" s="1"/>
  <c r="I70" i="10"/>
  <c r="Y9" i="10" s="1"/>
  <c r="C11" i="10" s="1" a="1"/>
  <c r="C11" i="10" s="1"/>
  <c r="W72" i="10"/>
  <c r="W75" i="10" s="1"/>
  <c r="AA70" i="10"/>
  <c r="AM16" i="5"/>
  <c r="M72" i="10"/>
  <c r="M75" i="10" s="1"/>
  <c r="O70" i="10"/>
  <c r="Q70" i="10"/>
  <c r="AE72" i="10"/>
  <c r="AE75" i="10" s="1"/>
  <c r="AM15" i="5"/>
  <c r="AA72" i="10"/>
  <c r="AA75" i="10" s="1"/>
  <c r="I16" i="12"/>
  <c r="C16" i="12" s="1"/>
  <c r="K70" i="10"/>
  <c r="U72" i="10"/>
  <c r="U75" i="10" s="1"/>
  <c r="S72" i="10"/>
  <c r="S75" i="10" s="1"/>
  <c r="Q72" i="10"/>
  <c r="Q75" i="10" s="1"/>
  <c r="I72" i="10"/>
  <c r="AE9" i="10" s="1"/>
  <c r="AE70" i="10"/>
  <c r="AC72" i="10"/>
  <c r="AC75" i="10" s="1"/>
  <c r="O72" i="10"/>
  <c r="O75" i="10" s="1"/>
  <c r="W70" i="10"/>
  <c r="Y70" i="10"/>
  <c r="Z16" i="5"/>
  <c r="S70" i="10"/>
  <c r="AC70" i="10"/>
  <c r="L19" i="12" a="1"/>
  <c r="L19" i="12" s="1"/>
  <c r="J19" i="12" a="1"/>
  <c r="J19" i="12" s="1"/>
  <c r="G32" i="8"/>
  <c r="M16" i="12" a="1"/>
  <c r="M16" i="12" s="1"/>
  <c r="L15" i="13"/>
  <c r="C15" i="11"/>
  <c r="P15" i="11"/>
  <c r="G26" i="8"/>
  <c r="D50" i="2"/>
  <c r="J32" i="12" s="1"/>
  <c r="C17" i="6"/>
  <c r="O17" i="5"/>
  <c r="D17" i="12" s="1"/>
  <c r="AO19" i="12" a="1"/>
  <c r="AO19" i="12" s="1"/>
  <c r="M19" i="12" a="1"/>
  <c r="M19" i="12" s="1"/>
  <c r="O19" i="12" a="1"/>
  <c r="O19" i="12" s="1"/>
  <c r="G29" i="8"/>
  <c r="AB19" i="5" a="1"/>
  <c r="AB19" i="5" s="1"/>
  <c r="D19" i="12"/>
  <c r="E19" i="6"/>
  <c r="AO17" i="12" a="1"/>
  <c r="AO17" i="12" s="1"/>
  <c r="M17" i="12" a="1"/>
  <c r="M17" i="12" s="1"/>
  <c r="O17" i="12" a="1"/>
  <c r="O17" i="12" s="1"/>
  <c r="AB17" i="5" a="1"/>
  <c r="AB17" i="5" s="1"/>
  <c r="C17" i="12"/>
  <c r="L17" i="12" a="1"/>
  <c r="L17" i="12" s="1"/>
  <c r="K17" i="12" s="1"/>
  <c r="O16" i="5"/>
  <c r="C16" i="6"/>
  <c r="C14" i="6"/>
  <c r="G17" i="8"/>
  <c r="S35" i="8"/>
  <c r="M35" i="8"/>
  <c r="J35" i="8"/>
  <c r="I26" i="8" l="1"/>
  <c r="A26" i="8" s="1"/>
  <c r="I32" i="8"/>
  <c r="A32" i="8" s="1"/>
  <c r="I35" i="8"/>
  <c r="L16" i="12" a="1"/>
  <c r="L16" i="12" s="1"/>
  <c r="O24" i="11"/>
  <c r="O25" i="11" s="1"/>
  <c r="L14" i="13"/>
  <c r="P14" i="13" s="1"/>
  <c r="P14" i="11"/>
  <c r="G11" i="11" s="1"/>
  <c r="J16" i="12" a="1"/>
  <c r="J16" i="12" s="1"/>
  <c r="H75" i="10"/>
  <c r="K19" i="12"/>
  <c r="I20" i="8"/>
  <c r="A20" i="8" s="1"/>
  <c r="E17" i="6"/>
  <c r="O16" i="12" a="1"/>
  <c r="O16" i="12" s="1"/>
  <c r="N16" i="12" s="1"/>
  <c r="AO16" i="12" a="1"/>
  <c r="AO16" i="12" s="1"/>
  <c r="AB16" i="5" a="1"/>
  <c r="AB16" i="5" s="1"/>
  <c r="AB14" i="11" s="1" a="1"/>
  <c r="AB14" i="11" s="1"/>
  <c r="AB15" i="5"/>
  <c r="N19" i="12"/>
  <c r="S77" i="10"/>
  <c r="D15" i="13"/>
  <c r="P15" i="13"/>
  <c r="AB15" i="11" a="1"/>
  <c r="AB15" i="11" s="1"/>
  <c r="N15" i="11" s="1"/>
  <c r="AG15" i="13" a="1"/>
  <c r="AG15" i="13" s="1"/>
  <c r="AD15" i="13" a="1"/>
  <c r="AD15" i="13" s="1"/>
  <c r="AA15" i="11" a="1"/>
  <c r="AA15" i="11" s="1"/>
  <c r="AC15" i="13" a="1"/>
  <c r="AC15" i="13" s="1"/>
  <c r="AF15" i="13" a="1"/>
  <c r="AF15" i="13" s="1"/>
  <c r="Y19" i="12"/>
  <c r="X19" i="12" s="1" a="1"/>
  <c r="X19" i="12" s="1"/>
  <c r="I29" i="8"/>
  <c r="A29" i="8" s="1"/>
  <c r="N17" i="12"/>
  <c r="Y17" i="12"/>
  <c r="W17" i="12" s="1" a="1"/>
  <c r="W17" i="12" s="1"/>
  <c r="I23" i="8"/>
  <c r="A23" i="8" s="1"/>
  <c r="Q35" i="8"/>
  <c r="D16" i="12"/>
  <c r="E16" i="6"/>
  <c r="E14" i="6"/>
  <c r="I14" i="8"/>
  <c r="I17" i="8"/>
  <c r="A17" i="8" s="1"/>
  <c r="G35" i="8"/>
  <c r="D14" i="13"/>
  <c r="S37" i="8"/>
  <c r="A35" i="8"/>
  <c r="F39" i="8"/>
  <c r="P35" i="8"/>
  <c r="L28" i="13" l="1"/>
  <c r="M24" i="13" s="1"/>
  <c r="AD14" i="13" a="1"/>
  <c r="AD14" i="13" s="1"/>
  <c r="S14" i="13" s="1"/>
  <c r="AA7" i="11"/>
  <c r="V14" i="13"/>
  <c r="V15" i="13" s="1"/>
  <c r="V16" i="13" s="1"/>
  <c r="V17" i="13" s="1"/>
  <c r="V18" i="13" s="1"/>
  <c r="V19" i="13" s="1"/>
  <c r="V20" i="13" s="1"/>
  <c r="V21" i="13" s="1"/>
  <c r="V22" i="13" s="1"/>
  <c r="V23" i="13" s="1"/>
  <c r="AG14" i="13" a="1"/>
  <c r="AG14" i="13" s="1"/>
  <c r="U14" i="13" s="1"/>
  <c r="K16" i="12"/>
  <c r="Y16" i="12"/>
  <c r="W16" i="12" s="1" a="1"/>
  <c r="W16" i="12" s="1"/>
  <c r="S15" i="13"/>
  <c r="R15" i="13"/>
  <c r="U15" i="13"/>
  <c r="Z15" i="11"/>
  <c r="T15" i="13"/>
  <c r="W19" i="12" a="1"/>
  <c r="W19" i="12" s="1"/>
  <c r="X17" i="12" a="1"/>
  <c r="X17" i="12" s="1"/>
  <c r="U17" i="12"/>
  <c r="V17" i="12" a="1"/>
  <c r="V17" i="12" s="1"/>
  <c r="T17" i="12"/>
  <c r="N14" i="11"/>
  <c r="N24" i="11" s="1"/>
  <c r="AB24" i="11"/>
  <c r="AB7" i="11" s="1"/>
  <c r="Z3" i="11" s="1"/>
  <c r="AA3" i="11" s="1" a="1"/>
  <c r="AA3" i="11" s="1"/>
  <c r="AA21" i="5" s="1" a="1"/>
  <c r="AA21" i="5" s="1"/>
  <c r="D33" i="14"/>
  <c r="I38" i="8"/>
  <c r="M38" i="8"/>
  <c r="J38" i="8"/>
  <c r="S38" i="8"/>
  <c r="G38" i="8" s="1"/>
  <c r="L24" i="13" l="1"/>
  <c r="E34" i="14"/>
  <c r="O29" i="13"/>
  <c r="N24" i="13"/>
  <c r="O24" i="13"/>
  <c r="P24" i="13"/>
  <c r="F34" i="14" s="1"/>
  <c r="M27" i="13"/>
  <c r="AD4" i="13"/>
  <c r="X16" i="12" a="1"/>
  <c r="X16" i="12" s="1"/>
  <c r="AA20" i="5" a="1"/>
  <c r="AA20" i="5" s="1"/>
  <c r="AA18" i="5" a="1"/>
  <c r="AA18" i="5" s="1"/>
  <c r="V19" i="12" a="1"/>
  <c r="V19" i="12" s="1"/>
  <c r="U19" i="12"/>
  <c r="T19" i="12"/>
  <c r="P38" i="8"/>
  <c r="Q38" i="8"/>
  <c r="AD23" i="11"/>
  <c r="AD17" i="11"/>
  <c r="AD18" i="11"/>
  <c r="AD14" i="11"/>
  <c r="AD20" i="11"/>
  <c r="AD15" i="11"/>
  <c r="AD21" i="11"/>
  <c r="AD16" i="11"/>
  <c r="AD22" i="11"/>
  <c r="AD19" i="11"/>
  <c r="AD12" i="11"/>
  <c r="N25" i="11"/>
  <c r="L27" i="13"/>
  <c r="S40" i="8"/>
  <c r="A38" i="8"/>
  <c r="F42" i="8"/>
  <c r="T16" i="12"/>
  <c r="V16" i="12" a="1"/>
  <c r="V16" i="12" s="1"/>
  <c r="U16" i="12"/>
  <c r="G10" i="13"/>
  <c r="AE4" i="13" l="1"/>
  <c r="O27" i="13" s="1"/>
  <c r="AA17" i="5" a="1"/>
  <c r="AA17" i="5" s="1"/>
  <c r="AA19" i="5" a="1"/>
  <c r="AA19" i="5" s="1"/>
  <c r="AA15" i="5"/>
  <c r="AA16" i="5" a="1"/>
  <c r="AA16" i="5" s="1"/>
  <c r="AA14" i="11" s="1" a="1"/>
  <c r="AA14" i="11" s="1"/>
  <c r="AE21" i="11"/>
  <c r="M21" i="11" s="1"/>
  <c r="L21" i="11" s="1"/>
  <c r="AE18" i="11"/>
  <c r="M18" i="11" s="1"/>
  <c r="L18" i="11" s="1"/>
  <c r="AE14" i="11"/>
  <c r="S41" i="8"/>
  <c r="G41" i="8" s="1"/>
  <c r="M41" i="8"/>
  <c r="J41" i="8"/>
  <c r="I41" i="8"/>
  <c r="AE15" i="11"/>
  <c r="M15" i="11" s="1"/>
  <c r="L15" i="11" s="1"/>
  <c r="AE20" i="11"/>
  <c r="M20" i="11" s="1"/>
  <c r="L20" i="11" s="1"/>
  <c r="AE19" i="11"/>
  <c r="M19" i="11" s="1"/>
  <c r="L19" i="11" s="1"/>
  <c r="AE12" i="11"/>
  <c r="M12" i="11" s="1"/>
  <c r="L12" i="11" s="1"/>
  <c r="AE17" i="11"/>
  <c r="M17" i="11" s="1"/>
  <c r="L17" i="11" s="1"/>
  <c r="AE16" i="11"/>
  <c r="M16" i="11" s="1"/>
  <c r="L16" i="11" s="1"/>
  <c r="F32" i="14"/>
  <c r="N27" i="13"/>
  <c r="D32" i="14"/>
  <c r="AD27" i="13"/>
  <c r="AC27" i="13"/>
  <c r="AE23" i="11"/>
  <c r="M23" i="11" s="1"/>
  <c r="L23" i="11" s="1"/>
  <c r="AE22" i="11"/>
  <c r="M22" i="11" s="1"/>
  <c r="L22" i="11" s="1"/>
  <c r="AF14" i="13" l="1" a="1"/>
  <c r="AF14" i="13" s="1"/>
  <c r="T14" i="13" s="1"/>
  <c r="AD3" i="13" s="1"/>
  <c r="AD2" i="13" s="1"/>
  <c r="AC14" i="13" a="1"/>
  <c r="AC14" i="13" s="1"/>
  <c r="R14" i="13" s="1"/>
  <c r="M26" i="13" s="1"/>
  <c r="M25" i="13" s="1"/>
  <c r="M14" i="11"/>
  <c r="L14" i="11" s="1"/>
  <c r="L24" i="11" s="1"/>
  <c r="AA24" i="11"/>
  <c r="Z14" i="11"/>
  <c r="Z24" i="11" s="1"/>
  <c r="P41" i="8"/>
  <c r="E32" i="14"/>
  <c r="S43" i="8"/>
  <c r="A41" i="8"/>
  <c r="F45" i="8"/>
  <c r="Q41" i="8"/>
  <c r="AE3" i="13" l="1"/>
  <c r="O26" i="13" s="1"/>
  <c r="M24" i="11"/>
  <c r="L26" i="13" s="1"/>
  <c r="AC26" i="13" s="1"/>
  <c r="J44" i="8"/>
  <c r="I44" i="8"/>
  <c r="M44" i="8"/>
  <c r="S44" i="8"/>
  <c r="L25" i="13"/>
  <c r="D30" i="14" s="1"/>
  <c r="L25" i="11"/>
  <c r="L10" i="11"/>
  <c r="M10" i="13" s="1"/>
  <c r="AE2" i="13" l="1"/>
  <c r="AD26" i="13"/>
  <c r="D31" i="14"/>
  <c r="M10" i="11"/>
  <c r="N10" i="13" s="1"/>
  <c r="M25" i="11"/>
  <c r="Q44" i="8"/>
  <c r="G9" i="11"/>
  <c r="P44" i="8"/>
  <c r="H45" i="8" a="1"/>
  <c r="H45" i="8" s="1"/>
  <c r="H44" i="8" a="1"/>
  <c r="H44" i="8" s="1"/>
  <c r="J45" i="8" s="1"/>
  <c r="F31" i="14"/>
  <c r="N26" i="13"/>
  <c r="E31" i="14" s="1"/>
  <c r="O25" i="13"/>
  <c r="A44" i="8"/>
  <c r="S46" i="8"/>
  <c r="F48" i="8"/>
  <c r="G44" i="8"/>
  <c r="N25" i="13" l="1"/>
  <c r="E30" i="14" s="1"/>
  <c r="F30" i="14"/>
  <c r="M47" i="8"/>
  <c r="Q47" i="8" s="1"/>
  <c r="S47" i="8"/>
  <c r="G47" i="8" s="1"/>
  <c r="I47" i="8"/>
  <c r="J47" i="8"/>
  <c r="P47" i="8" l="1"/>
  <c r="H47" i="8" a="1"/>
  <c r="H47" i="8" s="1"/>
  <c r="J48" i="8" s="1"/>
  <c r="H48" i="8" a="1"/>
  <c r="H48" i="8" s="1"/>
  <c r="S49" i="8"/>
  <c r="A47" i="8"/>
  <c r="F51" i="8"/>
  <c r="S50" i="8" l="1"/>
  <c r="G50" i="8" s="1"/>
  <c r="I50" i="8"/>
  <c r="M50" i="8"/>
  <c r="P50" i="8" s="1"/>
  <c r="J50" i="8"/>
  <c r="O50" i="8" l="1"/>
  <c r="N26" i="8"/>
  <c r="N32" i="8"/>
  <c r="N41" i="8"/>
  <c r="N14" i="8"/>
  <c r="R14" i="8" s="1"/>
  <c r="N38" i="8"/>
  <c r="N35" i="8"/>
  <c r="N17" i="8"/>
  <c r="N23" i="8"/>
  <c r="N20" i="8"/>
  <c r="N29" i="8"/>
  <c r="N44" i="8"/>
  <c r="N47" i="8"/>
  <c r="Q50" i="8"/>
  <c r="A50" i="8"/>
  <c r="S52" i="8"/>
  <c r="F54" i="8"/>
  <c r="H51" i="8" a="1"/>
  <c r="H51" i="8" s="1"/>
  <c r="H50" i="8" a="1"/>
  <c r="H50" i="8" s="1"/>
  <c r="J51" i="8" s="1"/>
  <c r="H14" i="8" l="1" a="1"/>
  <c r="H14" i="8" s="1"/>
  <c r="J15" i="8" s="1"/>
  <c r="H15" i="8" a="1"/>
  <c r="H15" i="8" s="1"/>
  <c r="F16" i="8"/>
  <c r="D14" i="8"/>
  <c r="C14" i="8"/>
  <c r="M53" i="8"/>
  <c r="J53" i="8"/>
  <c r="I53" i="8"/>
  <c r="S53" i="8"/>
  <c r="P53" i="8" l="1"/>
  <c r="O53" i="8"/>
  <c r="N50" i="8"/>
  <c r="R50" i="8" s="1"/>
  <c r="AB52" i="8" s="1" a="1"/>
  <c r="AB52" i="8" s="1"/>
  <c r="AB50" i="8" s="1" a="1"/>
  <c r="AB50" i="8" s="1"/>
  <c r="Q53" i="8"/>
  <c r="H53" i="8" a="1"/>
  <c r="H53" i="8" s="1"/>
  <c r="J54" i="8" s="1"/>
  <c r="H54" i="8" a="1"/>
  <c r="H54" i="8" s="1"/>
  <c r="G53" i="8"/>
  <c r="S55" i="8"/>
  <c r="A53" i="8"/>
  <c r="F57" i="8"/>
  <c r="Y52" i="8" l="1" a="1"/>
  <c r="Y52" i="8" s="1"/>
  <c r="Y50" i="8" s="1" a="1"/>
  <c r="Y50" i="8" s="1"/>
  <c r="AC52" i="8" a="1"/>
  <c r="AC52" i="8" s="1"/>
  <c r="AC50" i="8" s="1" a="1"/>
  <c r="AC50" i="8" s="1"/>
  <c r="U52" i="8" a="1"/>
  <c r="U52" i="8" s="1"/>
  <c r="U50" i="8" s="1" a="1"/>
  <c r="U50" i="8" s="1"/>
  <c r="E52" i="8" a="1"/>
  <c r="E52" i="8" s="1"/>
  <c r="E50" i="8" s="1" a="1"/>
  <c r="E50" i="8" s="1"/>
  <c r="AA52" i="8" a="1"/>
  <c r="AA52" i="8" s="1"/>
  <c r="AA50" i="8" s="1" a="1"/>
  <c r="AA50" i="8" s="1"/>
  <c r="Z52" i="8" a="1"/>
  <c r="Z52" i="8" s="1"/>
  <c r="Z50" i="8" s="1" a="1"/>
  <c r="Z50" i="8" s="1"/>
  <c r="AF52" i="8" a="1"/>
  <c r="AF52" i="8" s="1"/>
  <c r="AF50" i="8" s="1" a="1"/>
  <c r="AF50" i="8" s="1"/>
  <c r="X52" i="8" a="1"/>
  <c r="X52" i="8" s="1"/>
  <c r="X50" i="8" s="1" a="1"/>
  <c r="X50" i="8" s="1"/>
  <c r="W52" i="8" a="1"/>
  <c r="W52" i="8" s="1"/>
  <c r="W50" i="8" s="1" a="1"/>
  <c r="W50" i="8" s="1"/>
  <c r="V52" i="8" a="1"/>
  <c r="V52" i="8" s="1"/>
  <c r="V50" i="8" s="1" a="1"/>
  <c r="V50" i="8" s="1"/>
  <c r="D50" i="8"/>
  <c r="F52" i="8"/>
  <c r="AD52" i="8" a="1"/>
  <c r="AD52" i="8" s="1"/>
  <c r="AD50" i="8" s="1" a="1"/>
  <c r="AD50" i="8" s="1"/>
  <c r="C50" i="8"/>
  <c r="AE52" i="8" a="1"/>
  <c r="AE52" i="8" s="1"/>
  <c r="AE50" i="8" s="1" a="1"/>
  <c r="AE50" i="8" s="1"/>
  <c r="S56" i="8"/>
  <c r="G56" i="8" s="1"/>
  <c r="I56" i="8"/>
  <c r="M56" i="8"/>
  <c r="J56" i="8"/>
  <c r="N53" i="8" l="1"/>
  <c r="R53" i="8" s="1"/>
  <c r="AD55" i="8" s="1" a="1"/>
  <c r="AD55" i="8" s="1"/>
  <c r="AD53" i="8" s="1" a="1"/>
  <c r="AD53" i="8" s="1"/>
  <c r="P56" i="8"/>
  <c r="O56" i="8"/>
  <c r="Q56" i="8"/>
  <c r="S58" i="8"/>
  <c r="A56" i="8"/>
  <c r="F60" i="8"/>
  <c r="H57" i="8" a="1"/>
  <c r="H57" i="8" s="1"/>
  <c r="H56" i="8" a="1"/>
  <c r="H56" i="8" s="1"/>
  <c r="J57" i="8" s="1"/>
  <c r="W55" i="8" l="1" a="1"/>
  <c r="W55" i="8" s="1"/>
  <c r="W53" i="8" s="1" a="1"/>
  <c r="W53" i="8" s="1"/>
  <c r="AA55" i="8" a="1"/>
  <c r="AA55" i="8" s="1"/>
  <c r="AA53" i="8" s="1" a="1"/>
  <c r="AA53" i="8" s="1"/>
  <c r="F55" i="8"/>
  <c r="Y55" i="8" a="1"/>
  <c r="Y55" i="8" s="1"/>
  <c r="Y53" i="8" s="1" a="1"/>
  <c r="Y53" i="8" s="1"/>
  <c r="Z55" i="8" a="1"/>
  <c r="Z55" i="8" s="1"/>
  <c r="Z53" i="8" s="1" a="1"/>
  <c r="Z53" i="8" s="1"/>
  <c r="AF55" i="8" a="1"/>
  <c r="AF55" i="8" s="1"/>
  <c r="AF53" i="8" s="1" a="1"/>
  <c r="AF53" i="8" s="1"/>
  <c r="C53" i="8"/>
  <c r="AC55" i="8" a="1"/>
  <c r="AC55" i="8" s="1"/>
  <c r="AC53" i="8" s="1" a="1"/>
  <c r="AC53" i="8" s="1"/>
  <c r="E55" i="8" a="1"/>
  <c r="E55" i="8" s="1"/>
  <c r="E53" i="8" s="1" a="1"/>
  <c r="E53" i="8" s="1"/>
  <c r="D53" i="8"/>
  <c r="AE55" i="8" a="1"/>
  <c r="AE55" i="8" s="1"/>
  <c r="AE53" i="8" s="1" a="1"/>
  <c r="AE53" i="8" s="1"/>
  <c r="V55" i="8" a="1"/>
  <c r="V55" i="8" s="1"/>
  <c r="V53" i="8" s="1" a="1"/>
  <c r="V53" i="8" s="1"/>
  <c r="X55" i="8" a="1"/>
  <c r="X55" i="8" s="1"/>
  <c r="X53" i="8" s="1" a="1"/>
  <c r="X53" i="8" s="1"/>
  <c r="U55" i="8" a="1"/>
  <c r="U55" i="8" s="1"/>
  <c r="U53" i="8" s="1" a="1"/>
  <c r="U53" i="8" s="1"/>
  <c r="AB55" i="8" a="1"/>
  <c r="AB55" i="8" s="1"/>
  <c r="AB53" i="8" s="1" a="1"/>
  <c r="AB53" i="8" s="1"/>
  <c r="M59" i="8"/>
  <c r="N56" i="8" s="1"/>
  <c r="R56" i="8" s="1"/>
  <c r="D56" i="8" s="1"/>
  <c r="S59" i="8"/>
  <c r="J59" i="8"/>
  <c r="I59" i="8"/>
  <c r="O59" i="8" l="1"/>
  <c r="Q59" i="8"/>
  <c r="P59" i="8"/>
  <c r="AE58" i="8" a="1"/>
  <c r="AE58" i="8" s="1"/>
  <c r="AE56" i="8" s="1" a="1"/>
  <c r="AE56" i="8" s="1"/>
  <c r="F58" i="8"/>
  <c r="V58" i="8" a="1"/>
  <c r="V58" i="8" s="1"/>
  <c r="V56" i="8" s="1" a="1"/>
  <c r="V56" i="8" s="1"/>
  <c r="C56" i="8"/>
  <c r="AA58" i="8" a="1"/>
  <c r="AA58" i="8" s="1"/>
  <c r="AA56" i="8" s="1" a="1"/>
  <c r="AA56" i="8" s="1"/>
  <c r="U58" i="8" a="1"/>
  <c r="U58" i="8" s="1"/>
  <c r="U56" i="8" s="1" a="1"/>
  <c r="U56" i="8" s="1"/>
  <c r="E58" i="8" a="1"/>
  <c r="E58" i="8" s="1"/>
  <c r="E56" i="8" s="1" a="1"/>
  <c r="E56" i="8" s="1"/>
  <c r="Z58" i="8" a="1"/>
  <c r="Z58" i="8" s="1"/>
  <c r="Z56" i="8" s="1" a="1"/>
  <c r="Z56" i="8" s="1"/>
  <c r="Y58" i="8" a="1"/>
  <c r="Y58" i="8" s="1"/>
  <c r="Y56" i="8" s="1" a="1"/>
  <c r="Y56" i="8" s="1"/>
  <c r="G59" i="8"/>
  <c r="AC58" i="8" a="1"/>
  <c r="AC58" i="8" s="1"/>
  <c r="AC56" i="8" s="1" a="1"/>
  <c r="AC56" i="8" s="1"/>
  <c r="X58" i="8" a="1"/>
  <c r="X58" i="8" s="1"/>
  <c r="X56" i="8" s="1" a="1"/>
  <c r="X56" i="8" s="1"/>
  <c r="W58" i="8" a="1"/>
  <c r="W58" i="8" s="1"/>
  <c r="W56" i="8" s="1" a="1"/>
  <c r="W56" i="8" s="1"/>
  <c r="AD58" i="8" a="1"/>
  <c r="AD58" i="8" s="1"/>
  <c r="AD56" i="8" s="1" a="1"/>
  <c r="AD56" i="8" s="1"/>
  <c r="H59" i="8" a="1"/>
  <c r="H59" i="8" s="1"/>
  <c r="J60" i="8" s="1"/>
  <c r="H60" i="8" a="1"/>
  <c r="H60" i="8" s="1"/>
  <c r="AF58" i="8" a="1"/>
  <c r="AF58" i="8" s="1"/>
  <c r="AF56" i="8" s="1" a="1"/>
  <c r="AF56" i="8" s="1"/>
  <c r="AB58" i="8" a="1"/>
  <c r="AB58" i="8" s="1"/>
  <c r="AB56" i="8" s="1" a="1"/>
  <c r="AB56" i="8" s="1"/>
  <c r="A59" i="8"/>
  <c r="S61" i="8"/>
  <c r="F63" i="8"/>
  <c r="S62" i="8" l="1"/>
  <c r="M62" i="8"/>
  <c r="N59" i="8" s="1"/>
  <c r="R59" i="8" s="1"/>
  <c r="C59" i="8" s="1"/>
  <c r="J62" i="8"/>
  <c r="I62" i="8"/>
  <c r="P62" i="8"/>
  <c r="Q62" i="8" l="1"/>
  <c r="O62" i="8"/>
  <c r="Y61" i="8" a="1"/>
  <c r="Y61" i="8" s="1"/>
  <c r="Y59" i="8" s="1" a="1"/>
  <c r="Y59" i="8" s="1"/>
  <c r="F61" i="8"/>
  <c r="D59" i="8"/>
  <c r="AA61" i="8" a="1"/>
  <c r="AA61" i="8" s="1"/>
  <c r="AA59" i="8" s="1" a="1"/>
  <c r="AA59" i="8" s="1"/>
  <c r="W61" i="8" a="1"/>
  <c r="W61" i="8" s="1"/>
  <c r="W59" i="8" s="1" a="1"/>
  <c r="W59" i="8" s="1"/>
  <c r="X61" i="8" a="1"/>
  <c r="X61" i="8" s="1"/>
  <c r="X59" i="8" s="1" a="1"/>
  <c r="X59" i="8" s="1"/>
  <c r="G62" i="8"/>
  <c r="AD61" i="8" a="1"/>
  <c r="AD61" i="8" s="1"/>
  <c r="AD59" i="8" s="1" a="1"/>
  <c r="AD59" i="8" s="1"/>
  <c r="AE61" i="8" a="1"/>
  <c r="AE61" i="8" s="1"/>
  <c r="AE59" i="8" s="1" a="1"/>
  <c r="AE59" i="8" s="1"/>
  <c r="S64" i="8"/>
  <c r="A62" i="8"/>
  <c r="F66" i="8"/>
  <c r="H62" i="8" a="1"/>
  <c r="H62" i="8" s="1"/>
  <c r="J63" i="8" s="1"/>
  <c r="H63" i="8" a="1"/>
  <c r="H63" i="8" s="1"/>
  <c r="V61" i="8" a="1"/>
  <c r="V61" i="8" s="1"/>
  <c r="V59" i="8" s="1" a="1"/>
  <c r="V59" i="8" s="1"/>
  <c r="Z61" i="8" a="1"/>
  <c r="Z61" i="8" s="1"/>
  <c r="Z59" i="8" s="1" a="1"/>
  <c r="Z59" i="8" s="1"/>
  <c r="E61" i="8" a="1"/>
  <c r="E61" i="8" s="1"/>
  <c r="E59" i="8" s="1" a="1"/>
  <c r="E59" i="8" s="1"/>
  <c r="AB61" i="8" a="1"/>
  <c r="AB61" i="8" s="1"/>
  <c r="AB59" i="8" s="1" a="1"/>
  <c r="AB59" i="8" s="1"/>
  <c r="U61" i="8" a="1"/>
  <c r="U61" i="8" s="1"/>
  <c r="U59" i="8" s="1" a="1"/>
  <c r="U59" i="8" s="1"/>
  <c r="AC61" i="8" a="1"/>
  <c r="AC61" i="8" s="1"/>
  <c r="AC59" i="8" s="1" a="1"/>
  <c r="AC59" i="8" s="1"/>
  <c r="AF61" i="8" a="1"/>
  <c r="AF61" i="8" s="1"/>
  <c r="AF59" i="8" s="1" a="1"/>
  <c r="AF59" i="8" s="1"/>
  <c r="M65" i="8" l="1"/>
  <c r="N62" i="8" s="1"/>
  <c r="R62" i="8" s="1"/>
  <c r="D62" i="8" s="1"/>
  <c r="I65" i="8"/>
  <c r="S65" i="8"/>
  <c r="G65" i="8" s="1"/>
  <c r="J65" i="8"/>
  <c r="O65" i="8" l="1"/>
  <c r="P65" i="8"/>
  <c r="Q65" i="8"/>
  <c r="C62" i="8"/>
  <c r="F64" i="8"/>
  <c r="AB64" i="8" a="1"/>
  <c r="AB64" i="8" s="1"/>
  <c r="AB62" i="8" s="1" a="1"/>
  <c r="AB62" i="8" s="1"/>
  <c r="AD64" i="8" a="1"/>
  <c r="AD64" i="8" s="1"/>
  <c r="AD62" i="8" s="1" a="1"/>
  <c r="AD62" i="8" s="1"/>
  <c r="V64" i="8" a="1"/>
  <c r="V64" i="8" s="1"/>
  <c r="V62" i="8" s="1" a="1"/>
  <c r="V62" i="8" s="1"/>
  <c r="AA64" i="8" a="1"/>
  <c r="AA64" i="8" s="1"/>
  <c r="AA62" i="8" s="1" a="1"/>
  <c r="AA62" i="8" s="1"/>
  <c r="Z64" i="8" a="1"/>
  <c r="Z64" i="8" s="1"/>
  <c r="Z62" i="8" s="1" a="1"/>
  <c r="Z62" i="8" s="1"/>
  <c r="Y64" i="8" a="1"/>
  <c r="Y64" i="8" s="1"/>
  <c r="Y62" i="8" s="1" a="1"/>
  <c r="Y62" i="8" s="1"/>
  <c r="W64" i="8" a="1"/>
  <c r="W64" i="8" s="1"/>
  <c r="W62" i="8" s="1" a="1"/>
  <c r="W62" i="8" s="1"/>
  <c r="AF64" i="8" a="1"/>
  <c r="AF64" i="8" s="1"/>
  <c r="AF62" i="8" s="1" a="1"/>
  <c r="AF62" i="8" s="1"/>
  <c r="X64" i="8" a="1"/>
  <c r="X64" i="8" s="1"/>
  <c r="X62" i="8" s="1" a="1"/>
  <c r="X62" i="8" s="1"/>
  <c r="AE64" i="8" a="1"/>
  <c r="AE64" i="8" s="1"/>
  <c r="AE62" i="8" s="1" a="1"/>
  <c r="AE62" i="8" s="1"/>
  <c r="H65" i="8" a="1"/>
  <c r="H65" i="8" s="1"/>
  <c r="J66" i="8" s="1"/>
  <c r="H66" i="8" a="1"/>
  <c r="H66" i="8" s="1"/>
  <c r="E64" i="8" a="1"/>
  <c r="E64" i="8" s="1"/>
  <c r="E62" i="8" s="1" a="1"/>
  <c r="E62" i="8" s="1"/>
  <c r="U64" i="8" a="1"/>
  <c r="U64" i="8" s="1"/>
  <c r="U62" i="8" s="1" a="1"/>
  <c r="U62" i="8" s="1"/>
  <c r="AC64" i="8" a="1"/>
  <c r="AC64" i="8" s="1"/>
  <c r="AC62" i="8" s="1" a="1"/>
  <c r="AC62" i="8" s="1"/>
  <c r="A65" i="8"/>
  <c r="S67" i="8"/>
  <c r="F69" i="8"/>
  <c r="S68" i="8" l="1"/>
  <c r="J68" i="8"/>
  <c r="I68" i="8"/>
  <c r="M68" i="8"/>
  <c r="N65" i="8" s="1"/>
  <c r="R65" i="8" s="1"/>
  <c r="D65" i="8" s="1"/>
  <c r="P68" i="8" l="1"/>
  <c r="O68" i="8"/>
  <c r="Q68" i="8"/>
  <c r="C65" i="8"/>
  <c r="F67" i="8"/>
  <c r="E67" i="8" a="1"/>
  <c r="E67" i="8" s="1"/>
  <c r="E65" i="8" s="1" a="1"/>
  <c r="E65" i="8" s="1"/>
  <c r="V67" i="8" a="1"/>
  <c r="V67" i="8" s="1"/>
  <c r="V65" i="8" s="1" a="1"/>
  <c r="V65" i="8" s="1"/>
  <c r="AB67" i="8" a="1"/>
  <c r="AB67" i="8" s="1"/>
  <c r="AB65" i="8" s="1" a="1"/>
  <c r="AB65" i="8" s="1"/>
  <c r="AC67" i="8" a="1"/>
  <c r="AC67" i="8" s="1"/>
  <c r="AC65" i="8" s="1" a="1"/>
  <c r="AC65" i="8" s="1"/>
  <c r="X67" i="8" a="1"/>
  <c r="X67" i="8" s="1"/>
  <c r="X65" i="8" s="1" a="1"/>
  <c r="X65" i="8" s="1"/>
  <c r="Y67" i="8" a="1"/>
  <c r="Y67" i="8" s="1"/>
  <c r="Y65" i="8" s="1" a="1"/>
  <c r="Y65" i="8" s="1"/>
  <c r="AF67" i="8" a="1"/>
  <c r="AF67" i="8" s="1"/>
  <c r="AF65" i="8" s="1" a="1"/>
  <c r="AF65" i="8" s="1"/>
  <c r="Z67" i="8" a="1"/>
  <c r="Z67" i="8" s="1"/>
  <c r="Z65" i="8" s="1" a="1"/>
  <c r="Z65" i="8" s="1"/>
  <c r="H69" i="8" a="1"/>
  <c r="H69" i="8" s="1"/>
  <c r="H68" i="8" a="1"/>
  <c r="H68" i="8" s="1"/>
  <c r="J69" i="8" s="1"/>
  <c r="AD67" i="8" a="1"/>
  <c r="AD67" i="8" s="1"/>
  <c r="AD65" i="8" s="1" a="1"/>
  <c r="AD65" i="8" s="1"/>
  <c r="AA67" i="8" a="1"/>
  <c r="AA67" i="8" s="1"/>
  <c r="AA65" i="8" s="1" a="1"/>
  <c r="AA65" i="8" s="1"/>
  <c r="AE67" i="8" a="1"/>
  <c r="AE67" i="8" s="1"/>
  <c r="AE65" i="8" s="1" a="1"/>
  <c r="AE65" i="8" s="1"/>
  <c r="G68" i="8"/>
  <c r="A68" i="8"/>
  <c r="S70" i="8"/>
  <c r="F72" i="8"/>
  <c r="W67" i="8" a="1"/>
  <c r="W67" i="8" s="1"/>
  <c r="W65" i="8" s="1" a="1"/>
  <c r="W65" i="8" s="1"/>
  <c r="U67" i="8" a="1"/>
  <c r="U67" i="8" s="1"/>
  <c r="U65" i="8" s="1" a="1"/>
  <c r="U65" i="8" s="1"/>
  <c r="M71" i="8" l="1"/>
  <c r="N68" i="8" s="1"/>
  <c r="R68" i="8" s="1"/>
  <c r="D68" i="8" s="1"/>
  <c r="S71" i="8"/>
  <c r="G71" i="8" s="1"/>
  <c r="J71" i="8"/>
  <c r="P71" i="8"/>
  <c r="I71" i="8"/>
  <c r="Q71" i="8" l="1"/>
  <c r="O71" i="8"/>
  <c r="AC70" i="8" a="1"/>
  <c r="AC70" i="8" s="1"/>
  <c r="AC68" i="8" s="1" a="1"/>
  <c r="AC68" i="8" s="1"/>
  <c r="C68" i="8"/>
  <c r="F70" i="8"/>
  <c r="AF70" i="8" a="1"/>
  <c r="AF70" i="8" s="1"/>
  <c r="AF68" i="8" s="1" a="1"/>
  <c r="AF68" i="8" s="1"/>
  <c r="AD70" i="8" a="1"/>
  <c r="AD70" i="8" s="1"/>
  <c r="AD68" i="8" s="1" a="1"/>
  <c r="AD68" i="8" s="1"/>
  <c r="V70" i="8" a="1"/>
  <c r="V70" i="8" s="1"/>
  <c r="V68" i="8" s="1" a="1"/>
  <c r="V68" i="8" s="1"/>
  <c r="Z70" i="8" a="1"/>
  <c r="Z70" i="8" s="1"/>
  <c r="Z68" i="8" s="1" a="1"/>
  <c r="Z68" i="8" s="1"/>
  <c r="E70" i="8" a="1"/>
  <c r="E70" i="8" s="1"/>
  <c r="E68" i="8" s="1" a="1"/>
  <c r="E68" i="8" s="1"/>
  <c r="AA70" i="8" a="1"/>
  <c r="AA70" i="8" s="1"/>
  <c r="AA68" i="8" s="1" a="1"/>
  <c r="AA68" i="8" s="1"/>
  <c r="X70" i="8" a="1"/>
  <c r="X70" i="8" s="1"/>
  <c r="X68" i="8" s="1" a="1"/>
  <c r="X68" i="8" s="1"/>
  <c r="AE70" i="8" a="1"/>
  <c r="AE70" i="8" s="1"/>
  <c r="AE68" i="8" s="1" a="1"/>
  <c r="AE68" i="8" s="1"/>
  <c r="AB70" i="8" a="1"/>
  <c r="AB70" i="8" s="1"/>
  <c r="AB68" i="8" s="1" a="1"/>
  <c r="AB68" i="8" s="1"/>
  <c r="Y70" i="8" a="1"/>
  <c r="Y70" i="8" s="1"/>
  <c r="Y68" i="8" s="1" a="1"/>
  <c r="Y68" i="8" s="1"/>
  <c r="U70" i="8" a="1"/>
  <c r="U70" i="8" s="1"/>
  <c r="U68" i="8" s="1" a="1"/>
  <c r="U68" i="8" s="1"/>
  <c r="H71" i="8" a="1"/>
  <c r="H71" i="8" s="1"/>
  <c r="J72" i="8" s="1"/>
  <c r="H72" i="8" a="1"/>
  <c r="H72" i="8" s="1"/>
  <c r="W70" i="8" a="1"/>
  <c r="W70" i="8" s="1"/>
  <c r="W68" i="8" s="1" a="1"/>
  <c r="W68" i="8" s="1"/>
  <c r="S73" i="8"/>
  <c r="A71" i="8"/>
  <c r="F75" i="8"/>
  <c r="S74" i="8" l="1"/>
  <c r="J74" i="8"/>
  <c r="I74" i="8"/>
  <c r="M74" i="8"/>
  <c r="N71" i="8" s="1"/>
  <c r="R71" i="8" s="1"/>
  <c r="F73" i="8" s="1"/>
  <c r="Q74" i="8" l="1"/>
  <c r="P74" i="8"/>
  <c r="O74" i="8"/>
  <c r="U73" i="8" a="1"/>
  <c r="U73" i="8" s="1"/>
  <c r="U71" i="8" s="1" a="1"/>
  <c r="U71" i="8" s="1"/>
  <c r="C71" i="8"/>
  <c r="D71" i="8"/>
  <c r="W73" i="8" a="1"/>
  <c r="W73" i="8" s="1"/>
  <c r="W71" i="8" s="1" a="1"/>
  <c r="W71" i="8" s="1"/>
  <c r="G74" i="8"/>
  <c r="Z73" i="8" a="1"/>
  <c r="Z73" i="8" s="1"/>
  <c r="Z71" i="8" s="1" a="1"/>
  <c r="Z71" i="8" s="1"/>
  <c r="AC73" i="8" a="1"/>
  <c r="AC73" i="8" s="1"/>
  <c r="AC71" i="8" s="1" a="1"/>
  <c r="AC71" i="8" s="1"/>
  <c r="E73" i="8" a="1"/>
  <c r="E73" i="8" s="1"/>
  <c r="E71" i="8" s="1" a="1"/>
  <c r="E71" i="8" s="1"/>
  <c r="AA73" i="8" a="1"/>
  <c r="AA73" i="8" s="1"/>
  <c r="AA71" i="8" s="1" a="1"/>
  <c r="AA71" i="8" s="1"/>
  <c r="AB73" i="8" a="1"/>
  <c r="AB73" i="8" s="1"/>
  <c r="AB71" i="8" s="1" a="1"/>
  <c r="AB71" i="8" s="1"/>
  <c r="S76" i="8"/>
  <c r="A74" i="8"/>
  <c r="F78" i="8"/>
  <c r="V73" i="8" a="1"/>
  <c r="V73" i="8" s="1"/>
  <c r="V71" i="8" s="1" a="1"/>
  <c r="V71" i="8" s="1"/>
  <c r="H74" i="8" a="1"/>
  <c r="H74" i="8" s="1"/>
  <c r="J75" i="8" s="1"/>
  <c r="H75" i="8" a="1"/>
  <c r="H75" i="8" s="1"/>
  <c r="AF73" i="8" a="1"/>
  <c r="AF73" i="8" s="1"/>
  <c r="AF71" i="8" s="1" a="1"/>
  <c r="AF71" i="8" s="1"/>
  <c r="Y73" i="8" a="1"/>
  <c r="Y73" i="8" s="1"/>
  <c r="Y71" i="8" s="1" a="1"/>
  <c r="Y71" i="8" s="1"/>
  <c r="AE73" i="8" a="1"/>
  <c r="AE73" i="8" s="1"/>
  <c r="AE71" i="8" s="1" a="1"/>
  <c r="AE71" i="8" s="1"/>
  <c r="X73" i="8" a="1"/>
  <c r="X73" i="8" s="1"/>
  <c r="X71" i="8" s="1" a="1"/>
  <c r="X71" i="8" s="1"/>
  <c r="AD73" i="8" a="1"/>
  <c r="AD73" i="8" s="1"/>
  <c r="AD71" i="8" s="1" a="1"/>
  <c r="AD71" i="8" s="1"/>
  <c r="M77" i="8" l="1"/>
  <c r="N74" i="8" s="1"/>
  <c r="R74" i="8" s="1"/>
  <c r="J77" i="8"/>
  <c r="P77" i="8"/>
  <c r="S77" i="8"/>
  <c r="O77" i="8"/>
  <c r="N77" i="8"/>
  <c r="Q77" i="8"/>
  <c r="I77" i="8"/>
  <c r="AA76" i="8" l="1" a="1"/>
  <c r="AA76" i="8" s="1"/>
  <c r="AA74" i="8" s="1" a="1"/>
  <c r="AA74" i="8" s="1"/>
  <c r="C74" i="8"/>
  <c r="F76" i="8"/>
  <c r="U76" i="8" a="1"/>
  <c r="U76" i="8" s="1"/>
  <c r="U74" i="8" s="1" a="1"/>
  <c r="U74" i="8" s="1"/>
  <c r="D74" i="8"/>
  <c r="W76" i="8" a="1"/>
  <c r="W76" i="8" s="1"/>
  <c r="W74" i="8" s="1" a="1"/>
  <c r="W74" i="8" s="1"/>
  <c r="V76" i="8" a="1"/>
  <c r="V76" i="8" s="1"/>
  <c r="V74" i="8" s="1" a="1"/>
  <c r="V74" i="8" s="1"/>
  <c r="X76" i="8" a="1"/>
  <c r="X76" i="8" s="1"/>
  <c r="X74" i="8" s="1" a="1"/>
  <c r="X74" i="8" s="1"/>
  <c r="AB76" i="8" a="1"/>
  <c r="AB76" i="8" s="1"/>
  <c r="AB74" i="8" s="1" a="1"/>
  <c r="AB74" i="8" s="1"/>
  <c r="Z76" i="8" a="1"/>
  <c r="Z76" i="8" s="1"/>
  <c r="Z74" i="8" s="1" a="1"/>
  <c r="Z74" i="8" s="1"/>
  <c r="G77" i="8"/>
  <c r="Y76" i="8" a="1"/>
  <c r="Y76" i="8" s="1"/>
  <c r="Y74" i="8" s="1" a="1"/>
  <c r="Y74" i="8" s="1"/>
  <c r="AD76" i="8" a="1"/>
  <c r="AD76" i="8" s="1"/>
  <c r="AD74" i="8" s="1" a="1"/>
  <c r="AD74" i="8" s="1"/>
  <c r="AE76" i="8" a="1"/>
  <c r="AE76" i="8" s="1"/>
  <c r="AE74" i="8" s="1" a="1"/>
  <c r="AE74" i="8" s="1"/>
  <c r="H77" i="8" a="1"/>
  <c r="H77" i="8" s="1"/>
  <c r="J78" i="8" s="1"/>
  <c r="H78" i="8" a="1"/>
  <c r="H78" i="8" s="1"/>
  <c r="AC76" i="8" a="1"/>
  <c r="AC76" i="8" s="1"/>
  <c r="AC74" i="8" s="1" a="1"/>
  <c r="AC74" i="8" s="1"/>
  <c r="E76" i="8" a="1"/>
  <c r="E76" i="8" s="1"/>
  <c r="E74" i="8" s="1" a="1"/>
  <c r="E74" i="8" s="1"/>
  <c r="AF76" i="8" a="1"/>
  <c r="AF76" i="8" s="1"/>
  <c r="AF74" i="8" s="1" a="1"/>
  <c r="AF74" i="8" s="1"/>
  <c r="A77" i="8"/>
  <c r="R77" i="8"/>
  <c r="S79" i="8"/>
  <c r="F81" i="8"/>
  <c r="S80" i="8" l="1"/>
  <c r="G80" i="8" s="1"/>
  <c r="P80" i="8"/>
  <c r="O80" i="8"/>
  <c r="J80" i="8"/>
  <c r="I80" i="8"/>
  <c r="N80" i="8"/>
  <c r="M80" i="8"/>
  <c r="Q80" i="8"/>
  <c r="F79" i="8"/>
  <c r="D77" i="8"/>
  <c r="C77" i="8"/>
  <c r="X79" i="8" l="1" a="1"/>
  <c r="X79" i="8" s="1"/>
  <c r="X77" i="8" s="1" a="1"/>
  <c r="X77" i="8" s="1"/>
  <c r="AB79" i="8" a="1"/>
  <c r="AB79" i="8" s="1"/>
  <c r="AB77" i="8" s="1" a="1"/>
  <c r="AB77" i="8" s="1"/>
  <c r="AE79" i="8" a="1"/>
  <c r="AE79" i="8" s="1"/>
  <c r="AE77" i="8" s="1" a="1"/>
  <c r="AE77" i="8" s="1"/>
  <c r="E79" i="8" a="1"/>
  <c r="E79" i="8" s="1"/>
  <c r="E77" i="8" s="1" a="1"/>
  <c r="E77" i="8" s="1"/>
  <c r="W79" i="8" a="1"/>
  <c r="W79" i="8" s="1"/>
  <c r="W77" i="8" s="1" a="1"/>
  <c r="W77" i="8" s="1"/>
  <c r="AF79" i="8" a="1"/>
  <c r="AF79" i="8" s="1"/>
  <c r="AF77" i="8" s="1" a="1"/>
  <c r="AF77" i="8" s="1"/>
  <c r="AD79" i="8" a="1"/>
  <c r="AD79" i="8" s="1"/>
  <c r="AD77" i="8" s="1" a="1"/>
  <c r="AD77" i="8" s="1"/>
  <c r="AC79" i="8" a="1"/>
  <c r="AC79" i="8" s="1"/>
  <c r="AC77" i="8" s="1" a="1"/>
  <c r="AC77" i="8" s="1"/>
  <c r="V79" i="8" a="1"/>
  <c r="V79" i="8" s="1"/>
  <c r="V77" i="8" s="1" a="1"/>
  <c r="V77" i="8" s="1"/>
  <c r="AA79" i="8" a="1"/>
  <c r="AA79" i="8" s="1"/>
  <c r="AA77" i="8" s="1" a="1"/>
  <c r="AA77" i="8" s="1"/>
  <c r="U79" i="8" a="1"/>
  <c r="U79" i="8" s="1"/>
  <c r="U77" i="8" s="1" a="1"/>
  <c r="U77" i="8" s="1"/>
  <c r="Y79" i="8" a="1"/>
  <c r="Y79" i="8" s="1"/>
  <c r="Y77" i="8" s="1" a="1"/>
  <c r="Y77" i="8" s="1"/>
  <c r="Z79" i="8" a="1"/>
  <c r="Z79" i="8" s="1"/>
  <c r="Z77" i="8" s="1" a="1"/>
  <c r="Z77" i="8" s="1"/>
  <c r="R80" i="8"/>
  <c r="S82" i="8"/>
  <c r="A80" i="8"/>
  <c r="F84" i="8"/>
  <c r="H81" i="8" a="1"/>
  <c r="H81" i="8" s="1"/>
  <c r="H80" i="8" a="1"/>
  <c r="H80" i="8" s="1"/>
  <c r="J81" i="8" s="1"/>
  <c r="M83" i="8" l="1"/>
  <c r="J83" i="8"/>
  <c r="P83" i="8"/>
  <c r="N83" i="8"/>
  <c r="Q83" i="8"/>
  <c r="I83" i="8"/>
  <c r="S83" i="8"/>
  <c r="Z82" i="8" s="1" a="1"/>
  <c r="Z82" i="8" s="1"/>
  <c r="Z80" i="8" s="1" a="1"/>
  <c r="Z80" i="8" s="1"/>
  <c r="O83" i="8"/>
  <c r="F82" i="8"/>
  <c r="D80" i="8"/>
  <c r="C80" i="8"/>
  <c r="AF82" i="8" l="1" a="1"/>
  <c r="AF82" i="8" s="1"/>
  <c r="AF80" i="8" s="1" a="1"/>
  <c r="AF80" i="8" s="1"/>
  <c r="X82" i="8" a="1"/>
  <c r="X82" i="8" s="1"/>
  <c r="X80" i="8" s="1" a="1"/>
  <c r="X80" i="8" s="1"/>
  <c r="AD82" i="8" a="1"/>
  <c r="AD82" i="8" s="1"/>
  <c r="AD80" i="8" s="1" a="1"/>
  <c r="AD80" i="8" s="1"/>
  <c r="E82" i="8" a="1"/>
  <c r="E82" i="8" s="1"/>
  <c r="E80" i="8" s="1" a="1"/>
  <c r="E80" i="8" s="1"/>
  <c r="U82" i="8" a="1"/>
  <c r="U82" i="8" s="1"/>
  <c r="U80" i="8" s="1" a="1"/>
  <c r="U80" i="8" s="1"/>
  <c r="AA82" i="8" a="1"/>
  <c r="AA82" i="8" s="1"/>
  <c r="AA80" i="8" s="1" a="1"/>
  <c r="AA80" i="8" s="1"/>
  <c r="AC82" i="8" a="1"/>
  <c r="AC82" i="8" s="1"/>
  <c r="AC80" i="8" s="1" a="1"/>
  <c r="AC80" i="8" s="1"/>
  <c r="AE82" i="8" a="1"/>
  <c r="AE82" i="8" s="1"/>
  <c r="AE80" i="8" s="1" a="1"/>
  <c r="AE80" i="8" s="1"/>
  <c r="W82" i="8" a="1"/>
  <c r="W82" i="8" s="1"/>
  <c r="W80" i="8" s="1" a="1"/>
  <c r="W80" i="8" s="1"/>
  <c r="G83" i="8"/>
  <c r="H83" i="8" a="1"/>
  <c r="H83" i="8" s="1"/>
  <c r="J84" i="8" s="1"/>
  <c r="H84" i="8" a="1"/>
  <c r="H84" i="8" s="1"/>
  <c r="V82" i="8" a="1"/>
  <c r="V82" i="8" s="1"/>
  <c r="V80" i="8" s="1" a="1"/>
  <c r="V80" i="8" s="1"/>
  <c r="Y82" i="8" a="1"/>
  <c r="Y82" i="8" s="1"/>
  <c r="Y80" i="8" s="1" a="1"/>
  <c r="Y80" i="8" s="1"/>
  <c r="AB82" i="8" a="1"/>
  <c r="AB82" i="8" s="1"/>
  <c r="AB80" i="8" s="1" a="1"/>
  <c r="AB80" i="8" s="1"/>
  <c r="A83" i="8"/>
  <c r="S85" i="8"/>
  <c r="R83" i="8"/>
  <c r="F87" i="8"/>
  <c r="I86" i="8" l="1"/>
  <c r="S86" i="8"/>
  <c r="W85" i="8" s="1" a="1"/>
  <c r="W85" i="8" s="1"/>
  <c r="W83" i="8" s="1" a="1"/>
  <c r="W83" i="8" s="1"/>
  <c r="N86" i="8"/>
  <c r="J86" i="8"/>
  <c r="P86" i="8"/>
  <c r="O86" i="8"/>
  <c r="Q86" i="8"/>
  <c r="M86" i="8"/>
  <c r="E85" i="8" a="1"/>
  <c r="E85" i="8" s="1"/>
  <c r="E83" i="8" s="1" a="1"/>
  <c r="E83" i="8" s="1"/>
  <c r="AD85" i="8" a="1"/>
  <c r="AD85" i="8" s="1"/>
  <c r="AD83" i="8" s="1" a="1"/>
  <c r="AD83" i="8" s="1"/>
  <c r="C83" i="8"/>
  <c r="AB85" i="8" a="1"/>
  <c r="AB85" i="8" s="1"/>
  <c r="AB83" i="8" s="1" a="1"/>
  <c r="AB83" i="8" s="1"/>
  <c r="U85" i="8" a="1"/>
  <c r="U85" i="8" s="1"/>
  <c r="U83" i="8" s="1" a="1"/>
  <c r="U83" i="8" s="1"/>
  <c r="F85" i="8"/>
  <c r="D83" i="8"/>
  <c r="V85" i="8" a="1"/>
  <c r="V85" i="8" s="1"/>
  <c r="V83" i="8" s="1" a="1"/>
  <c r="V83" i="8" s="1"/>
  <c r="Y85" i="8" l="1" a="1"/>
  <c r="Y85" i="8" s="1"/>
  <c r="Y83" i="8" s="1" a="1"/>
  <c r="Y83" i="8" s="1"/>
  <c r="AE85" i="8" a="1"/>
  <c r="AE85" i="8" s="1"/>
  <c r="AE83" i="8" s="1" a="1"/>
  <c r="AE83" i="8" s="1"/>
  <c r="Z85" i="8" a="1"/>
  <c r="Z85" i="8" s="1"/>
  <c r="Z83" i="8" s="1" a="1"/>
  <c r="Z83" i="8" s="1"/>
  <c r="AC85" i="8" a="1"/>
  <c r="AC85" i="8" s="1"/>
  <c r="AC83" i="8" s="1" a="1"/>
  <c r="AC83" i="8" s="1"/>
  <c r="AA85" i="8" a="1"/>
  <c r="AA85" i="8" s="1"/>
  <c r="AA83" i="8" s="1" a="1"/>
  <c r="AA83" i="8" s="1"/>
  <c r="R86" i="8"/>
  <c r="S88" i="8"/>
  <c r="A86" i="8"/>
  <c r="F90" i="8"/>
  <c r="H87" i="8" a="1"/>
  <c r="H87" i="8" s="1"/>
  <c r="H86" i="8" a="1"/>
  <c r="H86" i="8" s="1"/>
  <c r="J87" i="8" s="1"/>
  <c r="X85" i="8" a="1"/>
  <c r="X85" i="8" s="1"/>
  <c r="X83" i="8" s="1" a="1"/>
  <c r="X83" i="8" s="1"/>
  <c r="AF85" i="8" a="1"/>
  <c r="AF85" i="8" s="1"/>
  <c r="AF83" i="8" s="1" a="1"/>
  <c r="AF83" i="8" s="1"/>
  <c r="G86" i="8"/>
  <c r="N89" i="8" l="1"/>
  <c r="P89" i="8"/>
  <c r="O89" i="8"/>
  <c r="J89" i="8"/>
  <c r="I89" i="8"/>
  <c r="S89" i="8"/>
  <c r="X88" i="8" s="1" a="1"/>
  <c r="X88" i="8" s="1"/>
  <c r="X86" i="8" s="1" a="1"/>
  <c r="X86" i="8" s="1"/>
  <c r="Q89" i="8"/>
  <c r="M89" i="8"/>
  <c r="V88" i="8" a="1"/>
  <c r="V88" i="8" s="1"/>
  <c r="V86" i="8" s="1" a="1"/>
  <c r="V86" i="8" s="1"/>
  <c r="AF88" i="8" a="1"/>
  <c r="AF88" i="8" s="1"/>
  <c r="AF86" i="8" s="1" a="1"/>
  <c r="AF86" i="8" s="1"/>
  <c r="F88" i="8"/>
  <c r="D86" i="8"/>
  <c r="C86" i="8"/>
  <c r="AB88" i="8" l="1" a="1"/>
  <c r="AB88" i="8" s="1"/>
  <c r="AB86" i="8" s="1" a="1"/>
  <c r="AB86" i="8" s="1"/>
  <c r="Y88" i="8" a="1"/>
  <c r="Y88" i="8" s="1"/>
  <c r="Y86" i="8" s="1" a="1"/>
  <c r="Y86" i="8" s="1"/>
  <c r="W88" i="8" a="1"/>
  <c r="W88" i="8" s="1"/>
  <c r="W86" i="8" s="1" a="1"/>
  <c r="W86" i="8" s="1"/>
  <c r="G89" i="8"/>
  <c r="AC88" i="8" a="1"/>
  <c r="AC88" i="8" s="1"/>
  <c r="AC86" i="8" s="1" a="1"/>
  <c r="AC86" i="8" s="1"/>
  <c r="U88" i="8" a="1"/>
  <c r="U88" i="8" s="1"/>
  <c r="U86" i="8" s="1" a="1"/>
  <c r="U86" i="8" s="1"/>
  <c r="AE88" i="8" a="1"/>
  <c r="AE88" i="8" s="1"/>
  <c r="AE86" i="8" s="1" a="1"/>
  <c r="AE86" i="8" s="1"/>
  <c r="A89" i="8"/>
  <c r="S91" i="8"/>
  <c r="R89" i="8"/>
  <c r="F93" i="8"/>
  <c r="H89" i="8" a="1"/>
  <c r="H89" i="8" s="1"/>
  <c r="J90" i="8" s="1"/>
  <c r="H90" i="8" a="1"/>
  <c r="H90" i="8" s="1"/>
  <c r="E88" i="8" a="1"/>
  <c r="E88" i="8" s="1"/>
  <c r="E86" i="8" s="1" a="1"/>
  <c r="E86" i="8" s="1"/>
  <c r="Z88" i="8" a="1"/>
  <c r="Z88" i="8" s="1"/>
  <c r="Z86" i="8" s="1" a="1"/>
  <c r="Z86" i="8" s="1"/>
  <c r="AD88" i="8" a="1"/>
  <c r="AD88" i="8" s="1"/>
  <c r="AD86" i="8" s="1" a="1"/>
  <c r="AD86" i="8" s="1"/>
  <c r="AA88" i="8" a="1"/>
  <c r="AA88" i="8" s="1"/>
  <c r="AA86" i="8" s="1" a="1"/>
  <c r="AA86" i="8" s="1"/>
  <c r="P92" i="8" l="1"/>
  <c r="S92" i="8"/>
  <c r="AC91" i="8" s="1" a="1"/>
  <c r="AC91" i="8" s="1"/>
  <c r="AC89" i="8" s="1" a="1"/>
  <c r="AC89" i="8" s="1"/>
  <c r="M92" i="8"/>
  <c r="I92" i="8"/>
  <c r="O92" i="8"/>
  <c r="N92" i="8"/>
  <c r="J92" i="8"/>
  <c r="Q92" i="8"/>
  <c r="C89" i="8"/>
  <c r="D89" i="8"/>
  <c r="F91" i="8"/>
  <c r="AF91" i="8" l="1" a="1"/>
  <c r="AF91" i="8" s="1"/>
  <c r="AF89" i="8" s="1" a="1"/>
  <c r="AF89" i="8" s="1"/>
  <c r="Z91" i="8" a="1"/>
  <c r="Z91" i="8" s="1"/>
  <c r="Z89" i="8" s="1" a="1"/>
  <c r="Z89" i="8" s="1"/>
  <c r="V91" i="8" a="1"/>
  <c r="V91" i="8" s="1"/>
  <c r="V89" i="8" s="1" a="1"/>
  <c r="V89" i="8" s="1"/>
  <c r="Y91" i="8" a="1"/>
  <c r="Y91" i="8" s="1"/>
  <c r="Y89" i="8" s="1" a="1"/>
  <c r="Y89" i="8" s="1"/>
  <c r="AE91" i="8" a="1"/>
  <c r="AE91" i="8" s="1"/>
  <c r="AE89" i="8" s="1" a="1"/>
  <c r="AE89" i="8" s="1"/>
  <c r="E91" i="8" a="1"/>
  <c r="E91" i="8" s="1"/>
  <c r="E89" i="8" s="1" a="1"/>
  <c r="E89" i="8" s="1"/>
  <c r="U91" i="8" a="1"/>
  <c r="U91" i="8" s="1"/>
  <c r="U89" i="8" s="1" a="1"/>
  <c r="U89" i="8" s="1"/>
  <c r="AB91" i="8" a="1"/>
  <c r="AB91" i="8" s="1"/>
  <c r="AB89" i="8" s="1" a="1"/>
  <c r="AB89" i="8" s="1"/>
  <c r="AD91" i="8" a="1"/>
  <c r="AD91" i="8" s="1"/>
  <c r="AD89" i="8" s="1" a="1"/>
  <c r="AD89" i="8" s="1"/>
  <c r="W91" i="8" a="1"/>
  <c r="W91" i="8" s="1"/>
  <c r="W89" i="8" s="1" a="1"/>
  <c r="W89" i="8" s="1"/>
  <c r="S94" i="8"/>
  <c r="A92" i="8"/>
  <c r="R92" i="8"/>
  <c r="F96" i="8"/>
  <c r="H92" i="8" a="1"/>
  <c r="H92" i="8" s="1"/>
  <c r="J93" i="8" s="1"/>
  <c r="H93" i="8" a="1"/>
  <c r="H93" i="8" s="1"/>
  <c r="AA91" i="8" a="1"/>
  <c r="AA91" i="8" s="1"/>
  <c r="AA89" i="8" s="1" a="1"/>
  <c r="AA89" i="8" s="1"/>
  <c r="X91" i="8" a="1"/>
  <c r="X91" i="8" s="1"/>
  <c r="X89" i="8" s="1" a="1"/>
  <c r="X89" i="8" s="1"/>
  <c r="G92" i="8"/>
  <c r="N95" i="8" l="1"/>
  <c r="Q95" i="8"/>
  <c r="O95" i="8"/>
  <c r="M95" i="8"/>
  <c r="S95" i="8"/>
  <c r="AA94" i="8" s="1" a="1"/>
  <c r="AA94" i="8" s="1"/>
  <c r="AA92" i="8" s="1" a="1"/>
  <c r="AA92" i="8" s="1"/>
  <c r="P95" i="8"/>
  <c r="J95" i="8"/>
  <c r="I95" i="8"/>
  <c r="AB94" i="8" a="1"/>
  <c r="AB94" i="8" s="1"/>
  <c r="AB92" i="8" s="1" a="1"/>
  <c r="AB92" i="8" s="1"/>
  <c r="F94" i="8"/>
  <c r="D92" i="8"/>
  <c r="C92" i="8"/>
  <c r="V94" i="8" l="1" a="1"/>
  <c r="V94" i="8" s="1"/>
  <c r="V92" i="8" s="1" a="1"/>
  <c r="V92" i="8" s="1"/>
  <c r="Z94" i="8" a="1"/>
  <c r="Z94" i="8" s="1"/>
  <c r="Z92" i="8" s="1" a="1"/>
  <c r="Z92" i="8" s="1"/>
  <c r="G95" i="8"/>
  <c r="AE94" i="8" a="1"/>
  <c r="AE94" i="8" s="1"/>
  <c r="AE92" i="8" s="1" a="1"/>
  <c r="AE92" i="8" s="1"/>
  <c r="AC94" i="8" a="1"/>
  <c r="AC94" i="8" s="1"/>
  <c r="AC92" i="8" s="1" a="1"/>
  <c r="AC92" i="8" s="1"/>
  <c r="AD94" i="8" a="1"/>
  <c r="AD94" i="8" s="1"/>
  <c r="AD92" i="8" s="1" a="1"/>
  <c r="AD92" i="8" s="1"/>
  <c r="U94" i="8" a="1"/>
  <c r="U94" i="8" s="1"/>
  <c r="U92" i="8" s="1" a="1"/>
  <c r="U92" i="8" s="1"/>
  <c r="W94" i="8" a="1"/>
  <c r="W94" i="8" s="1"/>
  <c r="W92" i="8" s="1" a="1"/>
  <c r="W92" i="8" s="1"/>
  <c r="Y94" i="8" a="1"/>
  <c r="Y94" i="8" s="1"/>
  <c r="Y92" i="8" s="1" a="1"/>
  <c r="Y92" i="8" s="1"/>
  <c r="H96" i="8" a="1"/>
  <c r="H96" i="8" s="1"/>
  <c r="H95" i="8" a="1"/>
  <c r="H95" i="8" s="1"/>
  <c r="J96" i="8" s="1"/>
  <c r="R95" i="8"/>
  <c r="A95" i="8"/>
  <c r="S97" i="8"/>
  <c r="F99" i="8"/>
  <c r="E94" i="8" a="1"/>
  <c r="E94" i="8" s="1"/>
  <c r="E92" i="8" s="1" a="1"/>
  <c r="E92" i="8" s="1"/>
  <c r="AF94" i="8" a="1"/>
  <c r="AF94" i="8" s="1"/>
  <c r="AF92" i="8" s="1" a="1"/>
  <c r="AF92" i="8" s="1"/>
  <c r="X94" i="8" a="1"/>
  <c r="X94" i="8" s="1"/>
  <c r="X92" i="8" s="1" a="1"/>
  <c r="X92" i="8" s="1"/>
  <c r="P98" i="8" l="1"/>
  <c r="J98" i="8"/>
  <c r="I98" i="8"/>
  <c r="O98" i="8"/>
  <c r="M98" i="8"/>
  <c r="Q98" i="8"/>
  <c r="N98" i="8"/>
  <c r="S98" i="8"/>
  <c r="W97" i="8" s="1" a="1"/>
  <c r="W97" i="8" s="1"/>
  <c r="W95" i="8" s="1" a="1"/>
  <c r="W95" i="8" s="1"/>
  <c r="C95" i="8"/>
  <c r="D95" i="8"/>
  <c r="F97" i="8"/>
  <c r="E97" i="8" l="1" a="1"/>
  <c r="E97" i="8" s="1"/>
  <c r="E95" i="8" s="1" a="1"/>
  <c r="E95" i="8" s="1"/>
  <c r="Y97" i="8" a="1"/>
  <c r="Y97" i="8" s="1"/>
  <c r="Y95" i="8" s="1" a="1"/>
  <c r="Y95" i="8" s="1"/>
  <c r="AE97" i="8" a="1"/>
  <c r="AE97" i="8" s="1"/>
  <c r="AE95" i="8" s="1" a="1"/>
  <c r="AE95" i="8" s="1"/>
  <c r="AB97" i="8" a="1"/>
  <c r="AB97" i="8" s="1"/>
  <c r="AB95" i="8" s="1" a="1"/>
  <c r="AB95" i="8" s="1"/>
  <c r="X97" i="8" a="1"/>
  <c r="X97" i="8" s="1"/>
  <c r="X95" i="8" s="1" a="1"/>
  <c r="X95" i="8" s="1"/>
  <c r="AF97" i="8" a="1"/>
  <c r="AF97" i="8" s="1"/>
  <c r="AF95" i="8" s="1" a="1"/>
  <c r="AF95" i="8" s="1"/>
  <c r="Z97" i="8" a="1"/>
  <c r="Z97" i="8" s="1"/>
  <c r="Z95" i="8" s="1" a="1"/>
  <c r="Z95" i="8" s="1"/>
  <c r="AA97" i="8" a="1"/>
  <c r="AA97" i="8" s="1"/>
  <c r="AA95" i="8" s="1" a="1"/>
  <c r="AA95" i="8" s="1"/>
  <c r="S100" i="8"/>
  <c r="R98" i="8"/>
  <c r="A98" i="8"/>
  <c r="F102" i="8"/>
  <c r="H98" i="8" a="1"/>
  <c r="H98" i="8" s="1"/>
  <c r="J99" i="8" s="1"/>
  <c r="H99" i="8" a="1"/>
  <c r="H99" i="8" s="1"/>
  <c r="AC97" i="8" a="1"/>
  <c r="AC97" i="8" s="1"/>
  <c r="AC95" i="8" s="1" a="1"/>
  <c r="AC95" i="8" s="1"/>
  <c r="U97" i="8" a="1"/>
  <c r="U97" i="8" s="1"/>
  <c r="U95" i="8" s="1" a="1"/>
  <c r="U95" i="8" s="1"/>
  <c r="V97" i="8" a="1"/>
  <c r="V97" i="8" s="1"/>
  <c r="V95" i="8" s="1" a="1"/>
  <c r="V95" i="8" s="1"/>
  <c r="AD97" i="8" a="1"/>
  <c r="AD97" i="8" s="1"/>
  <c r="AD95" i="8" s="1" a="1"/>
  <c r="AD95" i="8" s="1"/>
  <c r="G98" i="8"/>
  <c r="N101" i="8" l="1"/>
  <c r="M101" i="8"/>
  <c r="I101" i="8"/>
  <c r="P101" i="8"/>
  <c r="J101" i="8"/>
  <c r="Q101" i="8"/>
  <c r="O101" i="8"/>
  <c r="S101" i="8"/>
  <c r="Y100" i="8" s="1" a="1"/>
  <c r="Y100" i="8" s="1"/>
  <c r="Y98" i="8" s="1" a="1"/>
  <c r="Y98" i="8" s="1"/>
  <c r="F100" i="8"/>
  <c r="D98" i="8"/>
  <c r="C98" i="8"/>
  <c r="AA100" i="8" l="1" a="1"/>
  <c r="AA100" i="8" s="1"/>
  <c r="AA98" i="8" s="1" a="1"/>
  <c r="AA98" i="8" s="1"/>
  <c r="AB100" i="8" a="1"/>
  <c r="AB100" i="8" s="1"/>
  <c r="AB98" i="8" s="1" a="1"/>
  <c r="AB98" i="8" s="1"/>
  <c r="V100" i="8" a="1"/>
  <c r="V100" i="8" s="1"/>
  <c r="V98" i="8" s="1" a="1"/>
  <c r="V98" i="8" s="1"/>
  <c r="AC100" i="8" a="1"/>
  <c r="AC100" i="8" s="1"/>
  <c r="AC98" i="8" s="1" a="1"/>
  <c r="AC98" i="8" s="1"/>
  <c r="E100" i="8" a="1"/>
  <c r="E100" i="8" s="1"/>
  <c r="E98" i="8" s="1" a="1"/>
  <c r="E98" i="8" s="1"/>
  <c r="AE100" i="8" a="1"/>
  <c r="AE100" i="8" s="1"/>
  <c r="AE98" i="8" s="1" a="1"/>
  <c r="AE98" i="8" s="1"/>
  <c r="H102" i="8" a="1"/>
  <c r="H102" i="8" s="1"/>
  <c r="H101" i="8" a="1"/>
  <c r="H101" i="8" s="1"/>
  <c r="J102" i="8" s="1"/>
  <c r="G101" i="8"/>
  <c r="W100" i="8" a="1"/>
  <c r="W100" i="8" s="1"/>
  <c r="W98" i="8" s="1" a="1"/>
  <c r="W98" i="8" s="1"/>
  <c r="U100" i="8" a="1"/>
  <c r="U100" i="8" s="1"/>
  <c r="U98" i="8" s="1" a="1"/>
  <c r="U98" i="8" s="1"/>
  <c r="AD100" i="8" a="1"/>
  <c r="AD100" i="8" s="1"/>
  <c r="AD98" i="8" s="1" a="1"/>
  <c r="AD98" i="8" s="1"/>
  <c r="X100" i="8" a="1"/>
  <c r="X100" i="8" s="1"/>
  <c r="X98" i="8" s="1" a="1"/>
  <c r="X98" i="8" s="1"/>
  <c r="Z100" i="8" a="1"/>
  <c r="Z100" i="8" s="1"/>
  <c r="Z98" i="8" s="1" a="1"/>
  <c r="Z98" i="8" s="1"/>
  <c r="AF100" i="8" a="1"/>
  <c r="AF100" i="8" s="1"/>
  <c r="AF98" i="8" s="1" a="1"/>
  <c r="AF98" i="8" s="1"/>
  <c r="A101" i="8"/>
  <c r="R101" i="8"/>
  <c r="S103" i="8"/>
  <c r="F105" i="8"/>
  <c r="C101" i="8" l="1"/>
  <c r="F103" i="8"/>
  <c r="D101" i="8"/>
  <c r="S104" i="8"/>
  <c r="AC103" i="8" s="1" a="1"/>
  <c r="AC103" i="8" s="1"/>
  <c r="AC101" i="8" s="1" a="1"/>
  <c r="AC101" i="8" s="1"/>
  <c r="Q104" i="8"/>
  <c r="P104" i="8"/>
  <c r="I104" i="8"/>
  <c r="M104" i="8"/>
  <c r="O104" i="8"/>
  <c r="N104" i="8"/>
  <c r="J104" i="8"/>
  <c r="AD103" i="8" l="1" a="1"/>
  <c r="AD103" i="8" s="1"/>
  <c r="AD101" i="8" s="1" a="1"/>
  <c r="AD101" i="8" s="1"/>
  <c r="Z103" i="8" a="1"/>
  <c r="Z103" i="8" s="1"/>
  <c r="Z101" i="8" s="1" a="1"/>
  <c r="Z101" i="8" s="1"/>
  <c r="W103" i="8" a="1"/>
  <c r="W103" i="8" s="1"/>
  <c r="W101" i="8" s="1" a="1"/>
  <c r="W101" i="8" s="1"/>
  <c r="AF103" i="8" a="1"/>
  <c r="AF103" i="8" s="1"/>
  <c r="AF101" i="8" s="1" a="1"/>
  <c r="AF101" i="8" s="1"/>
  <c r="H105" i="8" a="1"/>
  <c r="H105" i="8" s="1"/>
  <c r="H104" i="8" a="1"/>
  <c r="H104" i="8" s="1"/>
  <c r="J105" i="8" s="1"/>
  <c r="R104" i="8"/>
  <c r="S106" i="8"/>
  <c r="A104" i="8"/>
  <c r="F108" i="8"/>
  <c r="G104" i="8"/>
  <c r="E103" i="8" a="1"/>
  <c r="E103" i="8" s="1"/>
  <c r="E101" i="8" s="1" a="1"/>
  <c r="E101" i="8" s="1"/>
  <c r="Y103" i="8" a="1"/>
  <c r="Y103" i="8" s="1"/>
  <c r="Y101" i="8" s="1" a="1"/>
  <c r="Y101" i="8" s="1"/>
  <c r="AA103" i="8" a="1"/>
  <c r="AA103" i="8" s="1"/>
  <c r="AA101" i="8" s="1" a="1"/>
  <c r="AA101" i="8" s="1"/>
  <c r="AB103" i="8" a="1"/>
  <c r="AB103" i="8" s="1"/>
  <c r="AB101" i="8" s="1" a="1"/>
  <c r="AB101" i="8" s="1"/>
  <c r="V103" i="8" a="1"/>
  <c r="V103" i="8" s="1"/>
  <c r="V101" i="8" s="1" a="1"/>
  <c r="V101" i="8" s="1"/>
  <c r="U103" i="8" a="1"/>
  <c r="U103" i="8" s="1"/>
  <c r="U101" i="8" s="1" a="1"/>
  <c r="U101" i="8" s="1"/>
  <c r="X103" i="8" a="1"/>
  <c r="X103" i="8" s="1"/>
  <c r="X101" i="8" s="1" a="1"/>
  <c r="X101" i="8" s="1"/>
  <c r="AE103" i="8" a="1"/>
  <c r="AE103" i="8" s="1"/>
  <c r="AE101" i="8" s="1" a="1"/>
  <c r="AE101" i="8" s="1"/>
  <c r="F106" i="8" l="1"/>
  <c r="D104" i="8"/>
  <c r="C104" i="8"/>
  <c r="N107" i="8"/>
  <c r="M107" i="8"/>
  <c r="J107" i="8"/>
  <c r="I107" i="8"/>
  <c r="Q107" i="8"/>
  <c r="S107" i="8"/>
  <c r="AF106" i="8" s="1" a="1"/>
  <c r="AF106" i="8" s="1"/>
  <c r="AF104" i="8" s="1" a="1"/>
  <c r="AF104" i="8" s="1"/>
  <c r="P107" i="8"/>
  <c r="O107" i="8"/>
  <c r="X106" i="8" l="1" a="1"/>
  <c r="X106" i="8" s="1"/>
  <c r="X104" i="8" s="1" a="1"/>
  <c r="X104" i="8" s="1"/>
  <c r="Y106" i="8" a="1"/>
  <c r="Y106" i="8" s="1"/>
  <c r="Y104" i="8" s="1" a="1"/>
  <c r="Y104" i="8" s="1"/>
  <c r="H108" i="8" a="1"/>
  <c r="H108" i="8" s="1"/>
  <c r="H107" i="8" a="1"/>
  <c r="H107" i="8" s="1"/>
  <c r="J108" i="8" s="1"/>
  <c r="AA106" i="8" a="1"/>
  <c r="AA106" i="8" s="1"/>
  <c r="AA104" i="8" s="1" a="1"/>
  <c r="AA104" i="8" s="1"/>
  <c r="A107" i="8"/>
  <c r="S109" i="8"/>
  <c r="R107" i="8"/>
  <c r="F111" i="8"/>
  <c r="U106" i="8" a="1"/>
  <c r="U106" i="8" s="1"/>
  <c r="U104" i="8" s="1" a="1"/>
  <c r="U104" i="8" s="1"/>
  <c r="E106" i="8" a="1"/>
  <c r="E106" i="8" s="1"/>
  <c r="E104" i="8" s="1" a="1"/>
  <c r="E104" i="8" s="1"/>
  <c r="V106" i="8" a="1"/>
  <c r="V106" i="8" s="1"/>
  <c r="V104" i="8" s="1" a="1"/>
  <c r="V104" i="8" s="1"/>
  <c r="Z106" i="8" a="1"/>
  <c r="Z106" i="8" s="1"/>
  <c r="Z104" i="8" s="1" a="1"/>
  <c r="Z104" i="8" s="1"/>
  <c r="W106" i="8" a="1"/>
  <c r="W106" i="8" s="1"/>
  <c r="W104" i="8" s="1" a="1"/>
  <c r="W104" i="8" s="1"/>
  <c r="AC106" i="8" a="1"/>
  <c r="AC106" i="8" s="1"/>
  <c r="AC104" i="8" s="1" a="1"/>
  <c r="AC104" i="8" s="1"/>
  <c r="AD106" i="8" a="1"/>
  <c r="AD106" i="8" s="1"/>
  <c r="AD104" i="8" s="1" a="1"/>
  <c r="AD104" i="8" s="1"/>
  <c r="AE106" i="8" a="1"/>
  <c r="AE106" i="8" s="1"/>
  <c r="AE104" i="8" s="1" a="1"/>
  <c r="AE104" i="8" s="1"/>
  <c r="G107" i="8"/>
  <c r="AB106" i="8" a="1"/>
  <c r="AB106" i="8" s="1"/>
  <c r="AB104" i="8" s="1" a="1"/>
  <c r="AB104" i="8" s="1"/>
  <c r="S110" i="8" l="1"/>
  <c r="AF109" i="8" s="1" a="1"/>
  <c r="AF109" i="8" s="1"/>
  <c r="AF107" i="8" s="1" a="1"/>
  <c r="AF107" i="8" s="1"/>
  <c r="Q110" i="8"/>
  <c r="P110" i="8"/>
  <c r="I110" i="8"/>
  <c r="O110" i="8"/>
  <c r="M110" i="8"/>
  <c r="J110" i="8"/>
  <c r="N110" i="8"/>
  <c r="AE109" i="8" a="1"/>
  <c r="AE109" i="8" s="1"/>
  <c r="AE107" i="8" s="1" a="1"/>
  <c r="AE107" i="8" s="1"/>
  <c r="C107" i="8"/>
  <c r="D107" i="8"/>
  <c r="F109" i="8"/>
  <c r="AD109" i="8" l="1" a="1"/>
  <c r="AD109" i="8" s="1"/>
  <c r="AD107" i="8" s="1" a="1"/>
  <c r="AD107" i="8" s="1"/>
  <c r="Y109" i="8" a="1"/>
  <c r="Y109" i="8" s="1"/>
  <c r="Y107" i="8" s="1" a="1"/>
  <c r="Y107" i="8" s="1"/>
  <c r="E109" i="8" a="1"/>
  <c r="E109" i="8" s="1"/>
  <c r="E107" i="8" s="1" a="1"/>
  <c r="E107" i="8" s="1"/>
  <c r="U109" i="8" a="1"/>
  <c r="U109" i="8" s="1"/>
  <c r="U107" i="8" s="1" a="1"/>
  <c r="U107" i="8" s="1"/>
  <c r="V109" i="8" a="1"/>
  <c r="V109" i="8" s="1"/>
  <c r="V107" i="8" s="1" a="1"/>
  <c r="V107" i="8" s="1"/>
  <c r="Z109" i="8" a="1"/>
  <c r="Z109" i="8" s="1"/>
  <c r="Z107" i="8" s="1" a="1"/>
  <c r="Z107" i="8" s="1"/>
  <c r="AC109" i="8" a="1"/>
  <c r="AC109" i="8" s="1"/>
  <c r="AC107" i="8" s="1" a="1"/>
  <c r="AC107" i="8" s="1"/>
  <c r="AB109" i="8" a="1"/>
  <c r="AB109" i="8" s="1"/>
  <c r="AB107" i="8" s="1" a="1"/>
  <c r="AB107" i="8" s="1"/>
  <c r="W109" i="8" a="1"/>
  <c r="W109" i="8" s="1"/>
  <c r="W107" i="8" s="1" a="1"/>
  <c r="W107" i="8" s="1"/>
  <c r="X109" i="8" a="1"/>
  <c r="X109" i="8" s="1"/>
  <c r="X107" i="8" s="1" a="1"/>
  <c r="X107" i="8" s="1"/>
  <c r="R110" i="8"/>
  <c r="S112" i="8"/>
  <c r="A110" i="8"/>
  <c r="F114" i="8"/>
  <c r="H111" i="8" a="1"/>
  <c r="H111" i="8" s="1"/>
  <c r="H110" i="8" a="1"/>
  <c r="H110" i="8" s="1"/>
  <c r="J111" i="8" s="1"/>
  <c r="AA109" i="8" a="1"/>
  <c r="AA109" i="8" s="1"/>
  <c r="AA107" i="8" s="1" a="1"/>
  <c r="AA107" i="8" s="1"/>
  <c r="G110" i="8"/>
  <c r="N113" i="8" l="1"/>
  <c r="M113" i="8"/>
  <c r="J113" i="8"/>
  <c r="I113" i="8"/>
  <c r="Q113" i="8"/>
  <c r="O113" i="8"/>
  <c r="S113" i="8"/>
  <c r="AE112" i="8" s="1" a="1"/>
  <c r="AE112" i="8" s="1"/>
  <c r="AE110" i="8" s="1" a="1"/>
  <c r="AE110" i="8" s="1"/>
  <c r="P113" i="8"/>
  <c r="F112" i="8"/>
  <c r="D110" i="8"/>
  <c r="C110" i="8"/>
  <c r="Z112" i="8" l="1" a="1"/>
  <c r="Z112" i="8" s="1"/>
  <c r="Z110" i="8" s="1" a="1"/>
  <c r="Z110" i="8" s="1"/>
  <c r="V112" i="8" a="1"/>
  <c r="V112" i="8" s="1"/>
  <c r="V110" i="8" s="1" a="1"/>
  <c r="V110" i="8" s="1"/>
  <c r="AB112" i="8" a="1"/>
  <c r="AB112" i="8" s="1"/>
  <c r="AB110" i="8" s="1" a="1"/>
  <c r="AB110" i="8" s="1"/>
  <c r="Y112" i="8" a="1"/>
  <c r="Y112" i="8" s="1"/>
  <c r="Y110" i="8" s="1" a="1"/>
  <c r="Y110" i="8" s="1"/>
  <c r="G113" i="8"/>
  <c r="AD112" i="8" a="1"/>
  <c r="AD112" i="8" s="1"/>
  <c r="AD110" i="8" s="1" a="1"/>
  <c r="AD110" i="8" s="1"/>
  <c r="E112" i="8" a="1"/>
  <c r="E112" i="8" s="1"/>
  <c r="E110" i="8" s="1" a="1"/>
  <c r="E110" i="8" s="1"/>
  <c r="X112" i="8" a="1"/>
  <c r="X112" i="8" s="1"/>
  <c r="X110" i="8" s="1" a="1"/>
  <c r="X110" i="8" s="1"/>
  <c r="H114" i="8" a="1"/>
  <c r="H114" i="8" s="1"/>
  <c r="H113" i="8" a="1"/>
  <c r="H113" i="8" s="1"/>
  <c r="J114" i="8" s="1"/>
  <c r="A113" i="8"/>
  <c r="S115" i="8"/>
  <c r="R113" i="8"/>
  <c r="F117" i="8"/>
  <c r="AF112" i="8" a="1"/>
  <c r="AF112" i="8" s="1"/>
  <c r="AF110" i="8" s="1" a="1"/>
  <c r="AF110" i="8" s="1"/>
  <c r="U112" i="8" a="1"/>
  <c r="U112" i="8" s="1"/>
  <c r="U110" i="8" s="1" a="1"/>
  <c r="U110" i="8" s="1"/>
  <c r="AC112" i="8" a="1"/>
  <c r="AC112" i="8" s="1"/>
  <c r="AC110" i="8" s="1" a="1"/>
  <c r="AC110" i="8" s="1"/>
  <c r="AA112" i="8" a="1"/>
  <c r="AA112" i="8" s="1"/>
  <c r="AA110" i="8" s="1" a="1"/>
  <c r="AA110" i="8" s="1"/>
  <c r="W112" i="8" a="1"/>
  <c r="W112" i="8" s="1"/>
  <c r="W110" i="8" s="1" a="1"/>
  <c r="W110" i="8" s="1"/>
  <c r="S116" i="8" l="1"/>
  <c r="W115" i="8" s="1" a="1"/>
  <c r="W115" i="8" s="1"/>
  <c r="W113" i="8" s="1" a="1"/>
  <c r="W113" i="8" s="1"/>
  <c r="M116" i="8"/>
  <c r="J116" i="8"/>
  <c r="O116" i="8"/>
  <c r="N116" i="8"/>
  <c r="P116" i="8"/>
  <c r="Q116" i="8"/>
  <c r="I116" i="8"/>
  <c r="C113" i="8"/>
  <c r="AD115" i="8" a="1"/>
  <c r="AD115" i="8" s="1"/>
  <c r="AD113" i="8" s="1" a="1"/>
  <c r="AD113" i="8" s="1"/>
  <c r="V115" i="8" a="1"/>
  <c r="V115" i="8" s="1"/>
  <c r="V113" i="8" s="1" a="1"/>
  <c r="V113" i="8" s="1"/>
  <c r="F115" i="8"/>
  <c r="D113" i="8"/>
  <c r="AE115" i="8" l="1" a="1"/>
  <c r="AE115" i="8" s="1"/>
  <c r="AE113" i="8" s="1" a="1"/>
  <c r="AE113" i="8" s="1"/>
  <c r="Y115" i="8" a="1"/>
  <c r="Y115" i="8" s="1"/>
  <c r="Y113" i="8" s="1" a="1"/>
  <c r="Y113" i="8" s="1"/>
  <c r="AF115" i="8" a="1"/>
  <c r="AF115" i="8" s="1"/>
  <c r="AF113" i="8" s="1" a="1"/>
  <c r="AF113" i="8" s="1"/>
  <c r="E115" i="8" a="1"/>
  <c r="E115" i="8" s="1"/>
  <c r="E113" i="8" s="1" a="1"/>
  <c r="E113" i="8" s="1"/>
  <c r="X115" i="8" a="1"/>
  <c r="X115" i="8" s="1"/>
  <c r="X113" i="8" s="1" a="1"/>
  <c r="X113" i="8" s="1"/>
  <c r="AC115" i="8" a="1"/>
  <c r="AC115" i="8" s="1"/>
  <c r="AC113" i="8" s="1" a="1"/>
  <c r="AC113" i="8" s="1"/>
  <c r="AB115" i="8" a="1"/>
  <c r="AB115" i="8" s="1"/>
  <c r="AB113" i="8" s="1" a="1"/>
  <c r="AB113" i="8" s="1"/>
  <c r="AA115" i="8" a="1"/>
  <c r="AA115" i="8" s="1"/>
  <c r="AA113" i="8" s="1" a="1"/>
  <c r="AA113" i="8" s="1"/>
  <c r="Z115" i="8" a="1"/>
  <c r="Z115" i="8" s="1"/>
  <c r="Z113" i="8" s="1" a="1"/>
  <c r="Z113" i="8" s="1"/>
  <c r="R116" i="8"/>
  <c r="A116" i="8"/>
  <c r="S118" i="8"/>
  <c r="F120" i="8"/>
  <c r="H116" i="8" a="1"/>
  <c r="H116" i="8" s="1"/>
  <c r="J117" i="8" s="1"/>
  <c r="H117" i="8" a="1"/>
  <c r="H117" i="8" s="1"/>
  <c r="U115" i="8" a="1"/>
  <c r="U115" i="8" s="1"/>
  <c r="U113" i="8" s="1" a="1"/>
  <c r="U113" i="8" s="1"/>
  <c r="G116" i="8"/>
  <c r="N119" i="8" l="1"/>
  <c r="J119" i="8"/>
  <c r="I119" i="8"/>
  <c r="P119" i="8"/>
  <c r="O119" i="8"/>
  <c r="S119" i="8"/>
  <c r="W118" i="8" s="1" a="1"/>
  <c r="W118" i="8" s="1"/>
  <c r="W116" i="8" s="1" a="1"/>
  <c r="W116" i="8" s="1"/>
  <c r="Q119" i="8"/>
  <c r="M119" i="8"/>
  <c r="V118" i="8" a="1"/>
  <c r="V118" i="8" s="1"/>
  <c r="V116" i="8" s="1" a="1"/>
  <c r="V116" i="8" s="1"/>
  <c r="AE118" i="8" a="1"/>
  <c r="AE118" i="8" s="1"/>
  <c r="AE116" i="8" s="1" a="1"/>
  <c r="AE116" i="8" s="1"/>
  <c r="X118" i="8" a="1"/>
  <c r="X118" i="8" s="1"/>
  <c r="X116" i="8" s="1" a="1"/>
  <c r="X116" i="8" s="1"/>
  <c r="F118" i="8"/>
  <c r="D116" i="8"/>
  <c r="C116" i="8"/>
  <c r="AB118" i="8" l="1" a="1"/>
  <c r="AB118" i="8" s="1"/>
  <c r="AB116" i="8" s="1" a="1"/>
  <c r="AB116" i="8" s="1"/>
  <c r="AC118" i="8" a="1"/>
  <c r="AC118" i="8" s="1"/>
  <c r="AC116" i="8" s="1" a="1"/>
  <c r="AC116" i="8" s="1"/>
  <c r="AD118" i="8" a="1"/>
  <c r="AD118" i="8" s="1"/>
  <c r="AD116" i="8" s="1" a="1"/>
  <c r="AD116" i="8" s="1"/>
  <c r="E118" i="8" a="1"/>
  <c r="E118" i="8" s="1"/>
  <c r="E116" i="8" s="1" a="1"/>
  <c r="E116" i="8" s="1"/>
  <c r="U118" i="8" a="1"/>
  <c r="U118" i="8" s="1"/>
  <c r="U116" i="8" s="1" a="1"/>
  <c r="U116" i="8" s="1"/>
  <c r="H120" i="8" a="1"/>
  <c r="H120" i="8" s="1"/>
  <c r="H119" i="8" a="1"/>
  <c r="H119" i="8" s="1"/>
  <c r="J120" i="8" s="1"/>
  <c r="S121" i="8"/>
  <c r="A119" i="8"/>
  <c r="R119" i="8"/>
  <c r="F123" i="8"/>
  <c r="G119" i="8"/>
  <c r="Y118" i="8" a="1"/>
  <c r="Y118" i="8" s="1"/>
  <c r="Y116" i="8" s="1" a="1"/>
  <c r="Y116" i="8" s="1"/>
  <c r="AF118" i="8" a="1"/>
  <c r="AF118" i="8" s="1"/>
  <c r="AF116" i="8" s="1" a="1"/>
  <c r="AF116" i="8" s="1"/>
  <c r="AA118" i="8" a="1"/>
  <c r="AA118" i="8" s="1"/>
  <c r="AA116" i="8" s="1" a="1"/>
  <c r="AA116" i="8" s="1"/>
  <c r="Z118" i="8" a="1"/>
  <c r="Z118" i="8" s="1"/>
  <c r="Z116" i="8" s="1" a="1"/>
  <c r="Z116" i="8" s="1"/>
  <c r="Q122" i="8" l="1"/>
  <c r="J122" i="8"/>
  <c r="N122" i="8"/>
  <c r="M122" i="8"/>
  <c r="S122" i="8"/>
  <c r="G122" i="8" s="1"/>
  <c r="P122" i="8"/>
  <c r="I122" i="8"/>
  <c r="O122" i="8"/>
  <c r="Z121" i="8" a="1"/>
  <c r="Z121" i="8" s="1"/>
  <c r="Z119" i="8" s="1" a="1"/>
  <c r="Z119" i="8" s="1"/>
  <c r="C119" i="8"/>
  <c r="F121" i="8"/>
  <c r="D119" i="8"/>
  <c r="AB121" i="8" l="1" a="1"/>
  <c r="AB121" i="8" s="1"/>
  <c r="AB119" i="8" s="1" a="1"/>
  <c r="AB119" i="8" s="1"/>
  <c r="V121" i="8" a="1"/>
  <c r="V121" i="8" s="1"/>
  <c r="V119" i="8" s="1" a="1"/>
  <c r="V119" i="8" s="1"/>
  <c r="AA121" i="8" a="1"/>
  <c r="AA121" i="8" s="1"/>
  <c r="AA119" i="8" s="1" a="1"/>
  <c r="AA119" i="8" s="1"/>
  <c r="Y121" i="8" a="1"/>
  <c r="Y121" i="8" s="1"/>
  <c r="Y119" i="8" s="1" a="1"/>
  <c r="Y119" i="8" s="1"/>
  <c r="X121" i="8" a="1"/>
  <c r="X121" i="8" s="1"/>
  <c r="X119" i="8" s="1" a="1"/>
  <c r="X119" i="8" s="1"/>
  <c r="U121" i="8" a="1"/>
  <c r="U121" i="8" s="1"/>
  <c r="U119" i="8" s="1" a="1"/>
  <c r="U119" i="8" s="1"/>
  <c r="AC121" i="8" a="1"/>
  <c r="AC121" i="8" s="1"/>
  <c r="AC119" i="8" s="1" a="1"/>
  <c r="AC119" i="8" s="1"/>
  <c r="S124" i="8"/>
  <c r="R122" i="8"/>
  <c r="A122" i="8"/>
  <c r="F126" i="8"/>
  <c r="H122" i="8" a="1"/>
  <c r="H122" i="8" s="1"/>
  <c r="J123" i="8" s="1"/>
  <c r="H123" i="8" a="1"/>
  <c r="H123" i="8" s="1"/>
  <c r="AE121" i="8" a="1"/>
  <c r="AE121" i="8" s="1"/>
  <c r="AE119" i="8" s="1" a="1"/>
  <c r="AE119" i="8" s="1"/>
  <c r="W121" i="8" a="1"/>
  <c r="W121" i="8" s="1"/>
  <c r="W119" i="8" s="1" a="1"/>
  <c r="W119" i="8" s="1"/>
  <c r="E121" i="8" a="1"/>
  <c r="E121" i="8" s="1"/>
  <c r="E119" i="8" s="1" a="1"/>
  <c r="E119" i="8" s="1"/>
  <c r="AD121" i="8" a="1"/>
  <c r="AD121" i="8" s="1"/>
  <c r="AD119" i="8" s="1" a="1"/>
  <c r="AD119" i="8" s="1"/>
  <c r="AF121" i="8" a="1"/>
  <c r="AF121" i="8" s="1"/>
  <c r="AF119" i="8" s="1" a="1"/>
  <c r="AF119" i="8" s="1"/>
  <c r="I125" i="8" l="1"/>
  <c r="M125" i="8"/>
  <c r="J125" i="8"/>
  <c r="N125" i="8"/>
  <c r="Q125" i="8"/>
  <c r="P125" i="8"/>
  <c r="S125" i="8"/>
  <c r="G125" i="8" s="1"/>
  <c r="O125" i="8"/>
  <c r="F124" i="8"/>
  <c r="C122" i="8"/>
  <c r="D122" i="8"/>
  <c r="AC124" i="8" l="1" a="1"/>
  <c r="AC124" i="8" s="1"/>
  <c r="AC122" i="8" s="1" a="1"/>
  <c r="AC122" i="8" s="1"/>
  <c r="V124" i="8" a="1"/>
  <c r="V124" i="8" s="1"/>
  <c r="V122" i="8" s="1" a="1"/>
  <c r="V122" i="8" s="1"/>
  <c r="AF124" i="8" a="1"/>
  <c r="AF124" i="8" s="1"/>
  <c r="AF122" i="8" s="1" a="1"/>
  <c r="AF122" i="8" s="1"/>
  <c r="Z124" i="8" a="1"/>
  <c r="Z124" i="8" s="1"/>
  <c r="Z122" i="8" s="1" a="1"/>
  <c r="Z122" i="8" s="1"/>
  <c r="AE124" i="8" a="1"/>
  <c r="AE124" i="8" s="1"/>
  <c r="AE122" i="8" s="1" a="1"/>
  <c r="AE122" i="8" s="1"/>
  <c r="AA124" i="8" a="1"/>
  <c r="AA124" i="8" s="1"/>
  <c r="AA122" i="8" s="1" a="1"/>
  <c r="AA122" i="8" s="1"/>
  <c r="AB124" i="8" a="1"/>
  <c r="AB124" i="8" s="1"/>
  <c r="AB122" i="8" s="1" a="1"/>
  <c r="AB122" i="8" s="1"/>
  <c r="U124" i="8" a="1"/>
  <c r="U124" i="8" s="1"/>
  <c r="U122" i="8" s="1" a="1"/>
  <c r="U122" i="8" s="1"/>
  <c r="W124" i="8" a="1"/>
  <c r="W124" i="8" s="1"/>
  <c r="W122" i="8" s="1" a="1"/>
  <c r="W122" i="8" s="1"/>
  <c r="Y124" i="8" a="1"/>
  <c r="Y124" i="8" s="1"/>
  <c r="Y122" i="8" s="1" a="1"/>
  <c r="Y122" i="8" s="1"/>
  <c r="H126" i="8" a="1"/>
  <c r="H126" i="8" s="1"/>
  <c r="H125" i="8" a="1"/>
  <c r="H125" i="8" s="1"/>
  <c r="J126" i="8" s="1"/>
  <c r="A125" i="8"/>
  <c r="S127" i="8"/>
  <c r="R125" i="8"/>
  <c r="F129" i="8"/>
  <c r="X124" i="8" a="1"/>
  <c r="X124" i="8" s="1"/>
  <c r="X122" i="8" s="1" a="1"/>
  <c r="X122" i="8" s="1"/>
  <c r="E124" i="8" a="1"/>
  <c r="E124" i="8" s="1"/>
  <c r="E122" i="8" s="1" a="1"/>
  <c r="E122" i="8" s="1"/>
  <c r="AD124" i="8" a="1"/>
  <c r="AD124" i="8" s="1"/>
  <c r="AD122" i="8" s="1" a="1"/>
  <c r="AD122" i="8" s="1"/>
  <c r="Q128" i="8" l="1"/>
  <c r="M128" i="8"/>
  <c r="J128" i="8"/>
  <c r="S128" i="8"/>
  <c r="G128" i="8" s="1"/>
  <c r="P128" i="8"/>
  <c r="I128" i="8"/>
  <c r="N128" i="8"/>
  <c r="O128" i="8"/>
  <c r="F127" i="8"/>
  <c r="D125" i="8"/>
  <c r="C125" i="8"/>
  <c r="Y127" i="8" l="1" a="1"/>
  <c r="Y127" i="8" s="1"/>
  <c r="Y125" i="8" s="1" a="1"/>
  <c r="Y125" i="8" s="1"/>
  <c r="Z127" i="8" a="1"/>
  <c r="Z127" i="8" s="1"/>
  <c r="Z125" i="8" s="1" a="1"/>
  <c r="Z125" i="8" s="1"/>
  <c r="X127" i="8" a="1"/>
  <c r="X127" i="8" s="1"/>
  <c r="X125" i="8" s="1" a="1"/>
  <c r="X125" i="8" s="1"/>
  <c r="V127" i="8" a="1"/>
  <c r="V127" i="8" s="1"/>
  <c r="V125" i="8" s="1" a="1"/>
  <c r="V125" i="8" s="1"/>
  <c r="AC127" i="8" a="1"/>
  <c r="AC127" i="8" s="1"/>
  <c r="AC125" i="8" s="1" a="1"/>
  <c r="AC125" i="8" s="1"/>
  <c r="W127" i="8" a="1"/>
  <c r="W127" i="8" s="1"/>
  <c r="W125" i="8" s="1" a="1"/>
  <c r="W125" i="8" s="1"/>
  <c r="AD127" i="8" a="1"/>
  <c r="AD127" i="8" s="1"/>
  <c r="AD125" i="8" s="1" a="1"/>
  <c r="AD125" i="8" s="1"/>
  <c r="AE127" i="8" a="1"/>
  <c r="AE127" i="8" s="1"/>
  <c r="AE125" i="8" s="1" a="1"/>
  <c r="AE125" i="8" s="1"/>
  <c r="AF127" i="8" a="1"/>
  <c r="AF127" i="8" s="1"/>
  <c r="AF125" i="8" s="1" a="1"/>
  <c r="AF125" i="8" s="1"/>
  <c r="S130" i="8"/>
  <c r="A128" i="8"/>
  <c r="R128" i="8"/>
  <c r="F132" i="8"/>
  <c r="H129" i="8" a="1"/>
  <c r="H129" i="8" s="1"/>
  <c r="H128" i="8" a="1"/>
  <c r="H128" i="8" s="1"/>
  <c r="J129" i="8" s="1"/>
  <c r="AA127" i="8" a="1"/>
  <c r="AA127" i="8" s="1"/>
  <c r="AA125" i="8" s="1" a="1"/>
  <c r="AA125" i="8" s="1"/>
  <c r="E127" i="8" a="1"/>
  <c r="E127" i="8" s="1"/>
  <c r="E125" i="8" s="1" a="1"/>
  <c r="E125" i="8" s="1"/>
  <c r="U127" i="8" a="1"/>
  <c r="U127" i="8" s="1"/>
  <c r="U125" i="8" s="1" a="1"/>
  <c r="U125" i="8" s="1"/>
  <c r="AB127" i="8" a="1"/>
  <c r="AB127" i="8" s="1"/>
  <c r="AB125" i="8" s="1" a="1"/>
  <c r="AB125" i="8" s="1"/>
  <c r="I131" i="8" l="1"/>
  <c r="N131" i="8"/>
  <c r="M131" i="8"/>
  <c r="J131" i="8"/>
  <c r="S131" i="8"/>
  <c r="G131" i="8" s="1"/>
  <c r="Q131" i="8"/>
  <c r="P131" i="8"/>
  <c r="O131" i="8"/>
  <c r="F130" i="8"/>
  <c r="AF130" i="8" a="1"/>
  <c r="AF130" i="8" s="1"/>
  <c r="AF128" i="8" s="1" a="1"/>
  <c r="AF128" i="8" s="1"/>
  <c r="E130" i="8" a="1"/>
  <c r="E130" i="8" s="1"/>
  <c r="E128" i="8" s="1" a="1"/>
  <c r="E128" i="8" s="1"/>
  <c r="D128" i="8"/>
  <c r="C128" i="8"/>
  <c r="AC130" i="8" l="1" a="1"/>
  <c r="AC130" i="8" s="1"/>
  <c r="AC128" i="8" s="1" a="1"/>
  <c r="AC128" i="8" s="1"/>
  <c r="AA130" i="8" a="1"/>
  <c r="AA130" i="8" s="1"/>
  <c r="AA128" i="8" s="1" a="1"/>
  <c r="AA128" i="8" s="1"/>
  <c r="Y130" i="8" a="1"/>
  <c r="Y130" i="8" s="1"/>
  <c r="Y128" i="8" s="1" a="1"/>
  <c r="Y128" i="8" s="1"/>
  <c r="AD130" i="8" a="1"/>
  <c r="AD130" i="8" s="1"/>
  <c r="AD128" i="8" s="1" a="1"/>
  <c r="AD128" i="8" s="1"/>
  <c r="U130" i="8" a="1"/>
  <c r="U130" i="8" s="1"/>
  <c r="U128" i="8" s="1" a="1"/>
  <c r="U128" i="8" s="1"/>
  <c r="W130" i="8" a="1"/>
  <c r="W130" i="8" s="1"/>
  <c r="W128" i="8" s="1" a="1"/>
  <c r="W128" i="8" s="1"/>
  <c r="H132" i="8" a="1"/>
  <c r="H132" i="8" s="1"/>
  <c r="H131" i="8" a="1"/>
  <c r="H131" i="8" s="1"/>
  <c r="J132" i="8" s="1"/>
  <c r="S133" i="8"/>
  <c r="A131" i="8"/>
  <c r="R131" i="8"/>
  <c r="F135" i="8"/>
  <c r="X130" i="8" a="1"/>
  <c r="X130" i="8" s="1"/>
  <c r="X128" i="8" s="1" a="1"/>
  <c r="X128" i="8" s="1"/>
  <c r="AB130" i="8" a="1"/>
  <c r="AB130" i="8" s="1"/>
  <c r="AB128" i="8" s="1" a="1"/>
  <c r="AB128" i="8" s="1"/>
  <c r="V130" i="8" a="1"/>
  <c r="V130" i="8" s="1"/>
  <c r="V128" i="8" s="1" a="1"/>
  <c r="V128" i="8" s="1"/>
  <c r="AE130" i="8" a="1"/>
  <c r="AE130" i="8" s="1"/>
  <c r="AE128" i="8" s="1" a="1"/>
  <c r="AE128" i="8" s="1"/>
  <c r="Z130" i="8" a="1"/>
  <c r="Z130" i="8" s="1"/>
  <c r="Z128" i="8" s="1" a="1"/>
  <c r="Z128" i="8" s="1"/>
  <c r="Q134" i="8" l="1"/>
  <c r="N134" i="8"/>
  <c r="M134" i="8"/>
  <c r="J134" i="8"/>
  <c r="I134" i="8"/>
  <c r="S134" i="8"/>
  <c r="W133" i="8" s="1" a="1"/>
  <c r="W133" i="8" s="1"/>
  <c r="W131" i="8" s="1" a="1"/>
  <c r="W131" i="8" s="1"/>
  <c r="P134" i="8"/>
  <c r="O134" i="8"/>
  <c r="F133" i="8"/>
  <c r="C131" i="8"/>
  <c r="D131" i="8"/>
  <c r="X133" i="8" l="1" a="1"/>
  <c r="X133" i="8" s="1"/>
  <c r="X131" i="8" s="1" a="1"/>
  <c r="X131" i="8" s="1"/>
  <c r="AA133" i="8" a="1"/>
  <c r="AA133" i="8" s="1"/>
  <c r="AA131" i="8" s="1" a="1"/>
  <c r="AA131" i="8" s="1"/>
  <c r="U133" i="8" a="1"/>
  <c r="U133" i="8" s="1"/>
  <c r="U131" i="8" s="1" a="1"/>
  <c r="U131" i="8" s="1"/>
  <c r="Y133" i="8" a="1"/>
  <c r="Y133" i="8" s="1"/>
  <c r="Y131" i="8" s="1" a="1"/>
  <c r="Y131" i="8" s="1"/>
  <c r="AC133" i="8" a="1"/>
  <c r="AC133" i="8" s="1"/>
  <c r="AC131" i="8" s="1" a="1"/>
  <c r="AC131" i="8" s="1"/>
  <c r="V133" i="8" a="1"/>
  <c r="V133" i="8" s="1"/>
  <c r="V131" i="8" s="1" a="1"/>
  <c r="V131" i="8" s="1"/>
  <c r="H134" i="8" a="1"/>
  <c r="H134" i="8" s="1"/>
  <c r="J135" i="8" s="1"/>
  <c r="H135" i="8" a="1"/>
  <c r="H135" i="8" s="1"/>
  <c r="AE133" i="8" a="1"/>
  <c r="AE133" i="8" s="1"/>
  <c r="AE131" i="8" s="1" a="1"/>
  <c r="AE131" i="8" s="1"/>
  <c r="G134" i="8"/>
  <c r="S136" i="8"/>
  <c r="A134" i="8"/>
  <c r="R134" i="8"/>
  <c r="F138" i="8"/>
  <c r="AB133" i="8" a="1"/>
  <c r="AB133" i="8" s="1"/>
  <c r="AB131" i="8" s="1" a="1"/>
  <c r="AB131" i="8" s="1"/>
  <c r="E133" i="8" a="1"/>
  <c r="E133" i="8" s="1"/>
  <c r="E131" i="8" s="1" a="1"/>
  <c r="E131" i="8" s="1"/>
  <c r="AF133" i="8" a="1"/>
  <c r="AF133" i="8" s="1"/>
  <c r="AF131" i="8" s="1" a="1"/>
  <c r="AF131" i="8" s="1"/>
  <c r="AD133" i="8" a="1"/>
  <c r="AD133" i="8" s="1"/>
  <c r="AD131" i="8" s="1" a="1"/>
  <c r="AD131" i="8" s="1"/>
  <c r="Z133" i="8" a="1"/>
  <c r="Z133" i="8" s="1"/>
  <c r="Z131" i="8" s="1" a="1"/>
  <c r="Z131" i="8" s="1"/>
  <c r="I137" i="8" l="1"/>
  <c r="S137" i="8"/>
  <c r="U136" i="8" s="1" a="1"/>
  <c r="U136" i="8" s="1"/>
  <c r="U134" i="8" s="1" a="1"/>
  <c r="U134" i="8" s="1"/>
  <c r="Q137" i="8"/>
  <c r="P137" i="8"/>
  <c r="O137" i="8"/>
  <c r="M137" i="8"/>
  <c r="J137" i="8"/>
  <c r="N137" i="8"/>
  <c r="F136" i="8"/>
  <c r="Z136" i="8" a="1"/>
  <c r="Z136" i="8" s="1"/>
  <c r="Z134" i="8" s="1" a="1"/>
  <c r="Z134" i="8" s="1"/>
  <c r="E136" i="8" a="1"/>
  <c r="E136" i="8" s="1"/>
  <c r="E134" i="8" s="1" a="1"/>
  <c r="E134" i="8" s="1"/>
  <c r="D134" i="8"/>
  <c r="C134" i="8"/>
  <c r="Y136" i="8" a="1"/>
  <c r="Y136" i="8" s="1"/>
  <c r="Y134" i="8" s="1" a="1"/>
  <c r="Y134" i="8" s="1"/>
  <c r="AE136" i="8" a="1"/>
  <c r="AE136" i="8" s="1"/>
  <c r="AE134" i="8" s="1" a="1"/>
  <c r="AE134" i="8" s="1"/>
  <c r="AB136" i="8" l="1" a="1"/>
  <c r="AB136" i="8" s="1"/>
  <c r="AB134" i="8" s="1" a="1"/>
  <c r="AB134" i="8" s="1"/>
  <c r="V136" i="8" a="1"/>
  <c r="V136" i="8" s="1"/>
  <c r="V134" i="8" s="1" a="1"/>
  <c r="V134" i="8" s="1"/>
  <c r="X136" i="8" a="1"/>
  <c r="X136" i="8" s="1"/>
  <c r="X134" i="8" s="1" a="1"/>
  <c r="X134" i="8" s="1"/>
  <c r="AD136" i="8" a="1"/>
  <c r="AD136" i="8" s="1"/>
  <c r="AD134" i="8" s="1" a="1"/>
  <c r="AD134" i="8" s="1"/>
  <c r="AA136" i="8" a="1"/>
  <c r="AA136" i="8" s="1"/>
  <c r="AA134" i="8" s="1" a="1"/>
  <c r="AA134" i="8" s="1"/>
  <c r="AC136" i="8" a="1"/>
  <c r="AC136" i="8" s="1"/>
  <c r="AC134" i="8" s="1" a="1"/>
  <c r="AC134" i="8" s="1"/>
  <c r="G137" i="8"/>
  <c r="AF136" i="8" a="1"/>
  <c r="AF136" i="8" s="1"/>
  <c r="AF134" i="8" s="1" a="1"/>
  <c r="AF134" i="8" s="1"/>
  <c r="W136" i="8" a="1"/>
  <c r="W136" i="8" s="1"/>
  <c r="W134" i="8" s="1" a="1"/>
  <c r="W134" i="8" s="1"/>
  <c r="R137" i="8"/>
  <c r="A137" i="8"/>
  <c r="S139" i="8"/>
  <c r="F141" i="8"/>
  <c r="H138" i="8" a="1"/>
  <c r="H138" i="8" s="1"/>
  <c r="H137" i="8" a="1"/>
  <c r="H137" i="8" s="1"/>
  <c r="J138" i="8" s="1"/>
  <c r="Q140" i="8" l="1"/>
  <c r="M140" i="8"/>
  <c r="O140" i="8"/>
  <c r="N140" i="8"/>
  <c r="J140" i="8"/>
  <c r="I140" i="8"/>
  <c r="S140" i="8"/>
  <c r="X139" i="8" s="1" a="1"/>
  <c r="X139" i="8" s="1"/>
  <c r="X137" i="8" s="1" a="1"/>
  <c r="X137" i="8" s="1"/>
  <c r="P140" i="8"/>
  <c r="D137" i="8"/>
  <c r="C137" i="8"/>
  <c r="F139" i="8"/>
  <c r="E139" i="8" l="1" a="1"/>
  <c r="E139" i="8" s="1"/>
  <c r="E137" i="8" s="1" a="1"/>
  <c r="E137" i="8" s="1"/>
  <c r="Z139" i="8" a="1"/>
  <c r="Z139" i="8" s="1"/>
  <c r="Z137" i="8" s="1" a="1"/>
  <c r="Z137" i="8" s="1"/>
  <c r="AB139" i="8" a="1"/>
  <c r="AB139" i="8" s="1"/>
  <c r="AB137" i="8" s="1" a="1"/>
  <c r="AB137" i="8" s="1"/>
  <c r="G140" i="8"/>
  <c r="AC139" i="8" a="1"/>
  <c r="AC139" i="8" s="1"/>
  <c r="AC137" i="8" s="1" a="1"/>
  <c r="AC137" i="8" s="1"/>
  <c r="U139" i="8" a="1"/>
  <c r="U139" i="8" s="1"/>
  <c r="U137" i="8" s="1" a="1"/>
  <c r="U137" i="8" s="1"/>
  <c r="V139" i="8" a="1"/>
  <c r="V139" i="8" s="1"/>
  <c r="V137" i="8" s="1" a="1"/>
  <c r="V137" i="8" s="1"/>
  <c r="W139" i="8" a="1"/>
  <c r="W139" i="8" s="1"/>
  <c r="W137" i="8" s="1" a="1"/>
  <c r="W137" i="8" s="1"/>
  <c r="AE139" i="8" a="1"/>
  <c r="AE139" i="8" s="1"/>
  <c r="AE137" i="8" s="1" a="1"/>
  <c r="AE137" i="8" s="1"/>
  <c r="AF139" i="8" a="1"/>
  <c r="AF139" i="8" s="1"/>
  <c r="AF137" i="8" s="1" a="1"/>
  <c r="AF137" i="8" s="1"/>
  <c r="H140" i="8" a="1"/>
  <c r="H140" i="8" s="1"/>
  <c r="J141" i="8" s="1"/>
  <c r="H141" i="8" a="1"/>
  <c r="H141" i="8" s="1"/>
  <c r="Y139" i="8" a="1"/>
  <c r="Y139" i="8" s="1"/>
  <c r="Y137" i="8" s="1" a="1"/>
  <c r="Y137" i="8" s="1"/>
  <c r="S142" i="8"/>
  <c r="A140" i="8"/>
  <c r="R140" i="8"/>
  <c r="F144" i="8"/>
  <c r="AD139" i="8" a="1"/>
  <c r="AD139" i="8" s="1"/>
  <c r="AD137" i="8" s="1" a="1"/>
  <c r="AD137" i="8" s="1"/>
  <c r="AA139" i="8" a="1"/>
  <c r="AA139" i="8" s="1"/>
  <c r="AA137" i="8" s="1" a="1"/>
  <c r="AA137" i="8" s="1"/>
  <c r="I143" i="8" l="1"/>
  <c r="S143" i="8"/>
  <c r="G143" i="8" s="1"/>
  <c r="Q143" i="8"/>
  <c r="M143" i="8"/>
  <c r="J143" i="8"/>
  <c r="P143" i="8"/>
  <c r="O143" i="8"/>
  <c r="N143" i="8"/>
  <c r="F142" i="8"/>
  <c r="X142" i="8" a="1"/>
  <c r="X142" i="8" s="1"/>
  <c r="X140" i="8" s="1" a="1"/>
  <c r="X140" i="8" s="1"/>
  <c r="D140" i="8"/>
  <c r="C140" i="8"/>
  <c r="AA142" i="8" a="1"/>
  <c r="AA142" i="8" s="1"/>
  <c r="AA140" i="8" s="1" a="1"/>
  <c r="AA140" i="8" s="1"/>
  <c r="V142" i="8" l="1" a="1"/>
  <c r="V142" i="8" s="1"/>
  <c r="V140" i="8" s="1" a="1"/>
  <c r="V140" i="8" s="1"/>
  <c r="AD142" i="8" a="1"/>
  <c r="AD142" i="8" s="1"/>
  <c r="AD140" i="8" s="1" a="1"/>
  <c r="AD140" i="8" s="1"/>
  <c r="AC142" i="8" a="1"/>
  <c r="AC142" i="8" s="1"/>
  <c r="AC140" i="8" s="1" a="1"/>
  <c r="AC140" i="8" s="1"/>
  <c r="W142" i="8" a="1"/>
  <c r="W142" i="8" s="1"/>
  <c r="W140" i="8" s="1" a="1"/>
  <c r="W140" i="8" s="1"/>
  <c r="Z142" i="8" a="1"/>
  <c r="Z142" i="8" s="1"/>
  <c r="Z140" i="8" s="1" a="1"/>
  <c r="Z140" i="8" s="1"/>
  <c r="E142" i="8" a="1"/>
  <c r="E142" i="8" s="1"/>
  <c r="E140" i="8" s="1" a="1"/>
  <c r="E140" i="8" s="1"/>
  <c r="AF142" i="8" a="1"/>
  <c r="AF142" i="8" s="1"/>
  <c r="AF140" i="8" s="1" a="1"/>
  <c r="AF140" i="8" s="1"/>
  <c r="U142" i="8" a="1"/>
  <c r="U142" i="8" s="1"/>
  <c r="U140" i="8" s="1" a="1"/>
  <c r="U140" i="8" s="1"/>
  <c r="AB142" i="8" a="1"/>
  <c r="AB142" i="8" s="1"/>
  <c r="AB140" i="8" s="1" a="1"/>
  <c r="AB140" i="8" s="1"/>
  <c r="R143" i="8"/>
  <c r="A143" i="8"/>
  <c r="S145" i="8"/>
  <c r="F147" i="8"/>
  <c r="H144" i="8" a="1"/>
  <c r="H144" i="8" s="1"/>
  <c r="H143" i="8" a="1"/>
  <c r="H143" i="8" s="1"/>
  <c r="J144" i="8" s="1"/>
  <c r="AE142" i="8" a="1"/>
  <c r="AE142" i="8" s="1"/>
  <c r="AE140" i="8" s="1" a="1"/>
  <c r="AE140" i="8" s="1"/>
  <c r="Y142" i="8" a="1"/>
  <c r="Y142" i="8" s="1"/>
  <c r="Y140" i="8" s="1" a="1"/>
  <c r="Y140" i="8" s="1"/>
  <c r="Q146" i="8" l="1"/>
  <c r="M146" i="8"/>
  <c r="P146" i="8"/>
  <c r="O146" i="8"/>
  <c r="N146" i="8"/>
  <c r="J146" i="8"/>
  <c r="I146" i="8"/>
  <c r="S146" i="8"/>
  <c r="G146" i="8" s="1"/>
  <c r="F145" i="8"/>
  <c r="D143" i="8"/>
  <c r="C143" i="8"/>
  <c r="AF145" i="8" l="1" a="1"/>
  <c r="AF145" i="8" s="1"/>
  <c r="AF143" i="8" s="1" a="1"/>
  <c r="AF143" i="8" s="1"/>
  <c r="AA145" i="8" a="1"/>
  <c r="AA145" i="8" s="1"/>
  <c r="AA143" i="8" s="1" a="1"/>
  <c r="AA143" i="8" s="1"/>
  <c r="Y145" i="8" a="1"/>
  <c r="Y145" i="8" s="1"/>
  <c r="Y143" i="8" s="1" a="1"/>
  <c r="Y143" i="8" s="1"/>
  <c r="W145" i="8" a="1"/>
  <c r="W145" i="8" s="1"/>
  <c r="W143" i="8" s="1" a="1"/>
  <c r="W143" i="8" s="1"/>
  <c r="AE145" i="8" a="1"/>
  <c r="AE145" i="8" s="1"/>
  <c r="AE143" i="8" s="1" a="1"/>
  <c r="AE143" i="8" s="1"/>
  <c r="U145" i="8" a="1"/>
  <c r="U145" i="8" s="1"/>
  <c r="U143" i="8" s="1" a="1"/>
  <c r="U143" i="8" s="1"/>
  <c r="AD145" i="8" a="1"/>
  <c r="AD145" i="8" s="1"/>
  <c r="AD143" i="8" s="1" a="1"/>
  <c r="AD143" i="8" s="1"/>
  <c r="H147" i="8" a="1"/>
  <c r="H147" i="8" s="1"/>
  <c r="H146" i="8" a="1"/>
  <c r="H146" i="8" s="1"/>
  <c r="J147" i="8" s="1"/>
  <c r="R146" i="8"/>
  <c r="A146" i="8"/>
  <c r="S148" i="8"/>
  <c r="F150" i="8"/>
  <c r="E145" i="8" a="1"/>
  <c r="E145" i="8" s="1"/>
  <c r="E143" i="8" s="1" a="1"/>
  <c r="E143" i="8" s="1"/>
  <c r="Z145" i="8" a="1"/>
  <c r="Z145" i="8" s="1"/>
  <c r="Z143" i="8" s="1" a="1"/>
  <c r="Z143" i="8" s="1"/>
  <c r="X145" i="8" a="1"/>
  <c r="X145" i="8" s="1"/>
  <c r="X143" i="8" s="1" a="1"/>
  <c r="X143" i="8" s="1"/>
  <c r="V145" i="8" a="1"/>
  <c r="V145" i="8" s="1"/>
  <c r="V143" i="8" s="1" a="1"/>
  <c r="V143" i="8" s="1"/>
  <c r="AB145" i="8" a="1"/>
  <c r="AB145" i="8" s="1"/>
  <c r="AB143" i="8" s="1" a="1"/>
  <c r="AB143" i="8" s="1"/>
  <c r="AC145" i="8" a="1"/>
  <c r="AC145" i="8" s="1"/>
  <c r="AC143" i="8" s="1" a="1"/>
  <c r="AC143" i="8" s="1"/>
  <c r="O149" i="8" l="1"/>
  <c r="S149" i="8"/>
  <c r="Z148" i="8" s="1" a="1"/>
  <c r="Z148" i="8" s="1"/>
  <c r="Z146" i="8" s="1" a="1"/>
  <c r="Z146" i="8" s="1"/>
  <c r="Q149" i="8"/>
  <c r="J149" i="8"/>
  <c r="M149" i="8"/>
  <c r="I149" i="8"/>
  <c r="P149" i="8"/>
  <c r="N149" i="8"/>
  <c r="D146" i="8"/>
  <c r="C146" i="8"/>
  <c r="F148" i="8"/>
  <c r="V148" i="8" a="1"/>
  <c r="V148" i="8" s="1"/>
  <c r="V146" i="8" s="1" a="1"/>
  <c r="V146" i="8" s="1"/>
  <c r="AE148" i="8" l="1" a="1"/>
  <c r="AE148" i="8" s="1"/>
  <c r="AE146" i="8" s="1" a="1"/>
  <c r="AE146" i="8" s="1"/>
  <c r="Y148" i="8" a="1"/>
  <c r="Y148" i="8" s="1"/>
  <c r="Y146" i="8" s="1" a="1"/>
  <c r="Y146" i="8" s="1"/>
  <c r="E148" i="8" a="1"/>
  <c r="E148" i="8" s="1"/>
  <c r="E146" i="8" s="1" a="1"/>
  <c r="E146" i="8" s="1"/>
  <c r="X148" i="8" a="1"/>
  <c r="X148" i="8" s="1"/>
  <c r="X146" i="8" s="1" a="1"/>
  <c r="X146" i="8" s="1"/>
  <c r="AD148" i="8" a="1"/>
  <c r="AD148" i="8" s="1"/>
  <c r="AD146" i="8" s="1" a="1"/>
  <c r="AD146" i="8" s="1"/>
  <c r="U148" i="8" a="1"/>
  <c r="U148" i="8" s="1"/>
  <c r="U146" i="8" s="1" a="1"/>
  <c r="U146" i="8" s="1"/>
  <c r="AB148" i="8" a="1"/>
  <c r="AB148" i="8" s="1"/>
  <c r="AB146" i="8" s="1" a="1"/>
  <c r="AB146" i="8" s="1"/>
  <c r="W148" i="8" a="1"/>
  <c r="W148" i="8" s="1"/>
  <c r="W146" i="8" s="1" a="1"/>
  <c r="W146" i="8" s="1"/>
  <c r="R149" i="8"/>
  <c r="A149" i="8"/>
  <c r="S151" i="8"/>
  <c r="F153" i="8"/>
  <c r="H149" i="8" a="1"/>
  <c r="H149" i="8" s="1"/>
  <c r="J150" i="8" s="1"/>
  <c r="H150" i="8" a="1"/>
  <c r="H150" i="8" s="1"/>
  <c r="G149" i="8"/>
  <c r="AF148" i="8" a="1"/>
  <c r="AF148" i="8" s="1"/>
  <c r="AF146" i="8" s="1" a="1"/>
  <c r="AF146" i="8" s="1"/>
  <c r="AC148" i="8" a="1"/>
  <c r="AC148" i="8" s="1"/>
  <c r="AC146" i="8" s="1" a="1"/>
  <c r="AC146" i="8" s="1"/>
  <c r="AA148" i="8" a="1"/>
  <c r="AA148" i="8" s="1"/>
  <c r="AA146" i="8" s="1" a="1"/>
  <c r="AA146" i="8" s="1"/>
  <c r="O152" i="8" l="1"/>
  <c r="N152" i="8"/>
  <c r="J152" i="8"/>
  <c r="S152" i="8"/>
  <c r="X151" i="8" s="1" a="1"/>
  <c r="X151" i="8" s="1"/>
  <c r="X149" i="8" s="1" a="1"/>
  <c r="X149" i="8" s="1"/>
  <c r="M152" i="8"/>
  <c r="Q152" i="8"/>
  <c r="P152" i="8"/>
  <c r="I152" i="8"/>
  <c r="D149" i="8"/>
  <c r="C149" i="8"/>
  <c r="F151" i="8"/>
  <c r="AA151" i="8" l="1" a="1"/>
  <c r="AA151" i="8" s="1"/>
  <c r="AA149" i="8" s="1" a="1"/>
  <c r="AA149" i="8" s="1"/>
  <c r="V151" i="8" a="1"/>
  <c r="V151" i="8" s="1"/>
  <c r="V149" i="8" s="1" a="1"/>
  <c r="V149" i="8" s="1"/>
  <c r="AB151" i="8" a="1"/>
  <c r="AB151" i="8" s="1"/>
  <c r="AB149" i="8" s="1" a="1"/>
  <c r="AB149" i="8" s="1"/>
  <c r="E151" i="8" a="1"/>
  <c r="E151" i="8" s="1"/>
  <c r="E149" i="8" s="1" a="1"/>
  <c r="E149" i="8" s="1"/>
  <c r="W151" i="8" a="1"/>
  <c r="W151" i="8" s="1"/>
  <c r="W149" i="8" s="1" a="1"/>
  <c r="W149" i="8" s="1"/>
  <c r="G152" i="8"/>
  <c r="AF151" i="8" a="1"/>
  <c r="AF151" i="8" s="1"/>
  <c r="AF149" i="8" s="1" a="1"/>
  <c r="AF149" i="8" s="1"/>
  <c r="Y151" i="8" a="1"/>
  <c r="Y151" i="8" s="1"/>
  <c r="Y149" i="8" s="1" a="1"/>
  <c r="Y149" i="8" s="1"/>
  <c r="AC151" i="8" a="1"/>
  <c r="AC151" i="8" s="1"/>
  <c r="AC149" i="8" s="1" a="1"/>
  <c r="AC149" i="8" s="1"/>
  <c r="AD151" i="8" a="1"/>
  <c r="AD151" i="8" s="1"/>
  <c r="AD149" i="8" s="1" a="1"/>
  <c r="AD149" i="8" s="1"/>
  <c r="A152" i="8"/>
  <c r="R152" i="8"/>
  <c r="S154" i="8"/>
  <c r="F156" i="8"/>
  <c r="H152" i="8" a="1"/>
  <c r="H152" i="8" s="1"/>
  <c r="J153" i="8" s="1"/>
  <c r="H153" i="8" a="1"/>
  <c r="H153" i="8" s="1"/>
  <c r="Z151" i="8" a="1"/>
  <c r="Z151" i="8" s="1"/>
  <c r="Z149" i="8" s="1" a="1"/>
  <c r="Z149" i="8" s="1"/>
  <c r="AE151" i="8" a="1"/>
  <c r="AE151" i="8" s="1"/>
  <c r="AE149" i="8" s="1" a="1"/>
  <c r="AE149" i="8" s="1"/>
  <c r="U151" i="8" a="1"/>
  <c r="U151" i="8" s="1"/>
  <c r="U149" i="8" s="1" a="1"/>
  <c r="U149" i="8" s="1"/>
  <c r="S155" i="8" l="1"/>
  <c r="X154" i="8" s="1" a="1"/>
  <c r="X154" i="8" s="1"/>
  <c r="X152" i="8" s="1" a="1"/>
  <c r="X152" i="8" s="1"/>
  <c r="Q155" i="8"/>
  <c r="O155" i="8"/>
  <c r="J155" i="8"/>
  <c r="I155" i="8"/>
  <c r="P155" i="8"/>
  <c r="M155" i="8"/>
  <c r="N155" i="8"/>
  <c r="D152" i="8"/>
  <c r="C152" i="8"/>
  <c r="F154" i="8"/>
  <c r="AD154" i="8" l="1" a="1"/>
  <c r="AD154" i="8" s="1"/>
  <c r="AD152" i="8" s="1" a="1"/>
  <c r="AD152" i="8" s="1"/>
  <c r="AE154" i="8" a="1"/>
  <c r="AE154" i="8" s="1"/>
  <c r="AE152" i="8" s="1" a="1"/>
  <c r="AE152" i="8" s="1"/>
  <c r="AF154" i="8" a="1"/>
  <c r="AF154" i="8" s="1"/>
  <c r="AF152" i="8" s="1" a="1"/>
  <c r="AF152" i="8" s="1"/>
  <c r="W154" i="8" a="1"/>
  <c r="W154" i="8" s="1"/>
  <c r="W152" i="8" s="1" a="1"/>
  <c r="W152" i="8" s="1"/>
  <c r="U154" i="8" a="1"/>
  <c r="U154" i="8" s="1"/>
  <c r="U152" i="8" s="1" a="1"/>
  <c r="U152" i="8" s="1"/>
  <c r="AB154" i="8" a="1"/>
  <c r="AB154" i="8" s="1"/>
  <c r="AB152" i="8" s="1" a="1"/>
  <c r="AB152" i="8" s="1"/>
  <c r="Y154" i="8" a="1"/>
  <c r="Y154" i="8" s="1"/>
  <c r="Y152" i="8" s="1" a="1"/>
  <c r="Y152" i="8" s="1"/>
  <c r="AC154" i="8" a="1"/>
  <c r="AC154" i="8" s="1"/>
  <c r="AC152" i="8" s="1" a="1"/>
  <c r="AC152" i="8" s="1"/>
  <c r="V154" i="8" a="1"/>
  <c r="V154" i="8" s="1"/>
  <c r="V152" i="8" s="1" a="1"/>
  <c r="V152" i="8" s="1"/>
  <c r="Z154" i="8" a="1"/>
  <c r="Z154" i="8" s="1"/>
  <c r="Z152" i="8" s="1" a="1"/>
  <c r="Z152" i="8" s="1"/>
  <c r="AA154" i="8" a="1"/>
  <c r="AA154" i="8" s="1"/>
  <c r="AA152" i="8" s="1" a="1"/>
  <c r="AA152" i="8" s="1"/>
  <c r="H155" i="8" a="1"/>
  <c r="H155" i="8" s="1"/>
  <c r="J156" i="8" s="1"/>
  <c r="H156" i="8" a="1"/>
  <c r="H156" i="8" s="1"/>
  <c r="R155" i="8"/>
  <c r="A155" i="8"/>
  <c r="S157" i="8"/>
  <c r="F159" i="8"/>
  <c r="E154" i="8" a="1"/>
  <c r="E154" i="8" s="1"/>
  <c r="E152" i="8" s="1" a="1"/>
  <c r="E152" i="8" s="1"/>
  <c r="G155" i="8"/>
  <c r="F157" i="8" l="1"/>
  <c r="D155" i="8"/>
  <c r="C155" i="8"/>
  <c r="O158" i="8"/>
  <c r="N158" i="8"/>
  <c r="J158" i="8"/>
  <c r="P158" i="8"/>
  <c r="M158" i="8"/>
  <c r="I158" i="8"/>
  <c r="Q158" i="8"/>
  <c r="S158" i="8"/>
  <c r="AB157" i="8" s="1" a="1"/>
  <c r="AB157" i="8" s="1"/>
  <c r="AB155" i="8" s="1" a="1"/>
  <c r="AB155" i="8" s="1"/>
  <c r="Z157" i="8" l="1" a="1"/>
  <c r="Z157" i="8" s="1"/>
  <c r="Z155" i="8" s="1" a="1"/>
  <c r="Z155" i="8" s="1"/>
  <c r="AF157" i="8" a="1"/>
  <c r="AF157" i="8" s="1"/>
  <c r="AF155" i="8" s="1" a="1"/>
  <c r="AF155" i="8" s="1"/>
  <c r="AE157" i="8" a="1"/>
  <c r="AE157" i="8" s="1"/>
  <c r="AE155" i="8" s="1" a="1"/>
  <c r="AE155" i="8" s="1"/>
  <c r="E157" i="8" a="1"/>
  <c r="E157" i="8" s="1"/>
  <c r="E155" i="8" s="1" a="1"/>
  <c r="E155" i="8" s="1"/>
  <c r="AD157" i="8" a="1"/>
  <c r="AD157" i="8" s="1"/>
  <c r="AD155" i="8" s="1" a="1"/>
  <c r="AD155" i="8" s="1"/>
  <c r="AC157" i="8" a="1"/>
  <c r="AC157" i="8" s="1"/>
  <c r="AC155" i="8" s="1" a="1"/>
  <c r="AC155" i="8" s="1"/>
  <c r="X157" i="8" a="1"/>
  <c r="X157" i="8" s="1"/>
  <c r="X155" i="8" s="1" a="1"/>
  <c r="X155" i="8" s="1"/>
  <c r="G158" i="8"/>
  <c r="U157" i="8" a="1"/>
  <c r="U157" i="8" s="1"/>
  <c r="U155" i="8" s="1" a="1"/>
  <c r="U155" i="8" s="1"/>
  <c r="Y157" i="8" a="1"/>
  <c r="Y157" i="8" s="1"/>
  <c r="Y155" i="8" s="1" a="1"/>
  <c r="Y155" i="8" s="1"/>
  <c r="AA157" i="8" a="1"/>
  <c r="AA157" i="8" s="1"/>
  <c r="AA155" i="8" s="1" a="1"/>
  <c r="AA155" i="8" s="1"/>
  <c r="A158" i="8"/>
  <c r="S160" i="8"/>
  <c r="R158" i="8"/>
  <c r="F162" i="8"/>
  <c r="H158" i="8" a="1"/>
  <c r="H158" i="8" s="1"/>
  <c r="J159" i="8" s="1"/>
  <c r="H159" i="8" a="1"/>
  <c r="H159" i="8" s="1"/>
  <c r="W157" i="8" a="1"/>
  <c r="W157" i="8" s="1"/>
  <c r="W155" i="8" s="1" a="1"/>
  <c r="W155" i="8" s="1"/>
  <c r="V157" i="8" a="1"/>
  <c r="V157" i="8" s="1"/>
  <c r="V155" i="8" s="1" a="1"/>
  <c r="V155" i="8" s="1"/>
  <c r="S161" i="8" l="1"/>
  <c r="AE160" i="8" s="1" a="1"/>
  <c r="AE160" i="8" s="1"/>
  <c r="AE158" i="8" s="1" a="1"/>
  <c r="AE158" i="8" s="1"/>
  <c r="O161" i="8"/>
  <c r="N161" i="8"/>
  <c r="M161" i="8"/>
  <c r="J161" i="8"/>
  <c r="I161" i="8"/>
  <c r="Q161" i="8"/>
  <c r="P161" i="8"/>
  <c r="D158" i="8"/>
  <c r="C158" i="8"/>
  <c r="F160" i="8"/>
  <c r="V160" i="8" l="1" a="1"/>
  <c r="V160" i="8" s="1"/>
  <c r="V158" i="8" s="1" a="1"/>
  <c r="V158" i="8" s="1"/>
  <c r="U160" i="8" a="1"/>
  <c r="U160" i="8" s="1"/>
  <c r="U158" i="8" s="1" a="1"/>
  <c r="U158" i="8" s="1"/>
  <c r="AF160" i="8" a="1"/>
  <c r="AF160" i="8" s="1"/>
  <c r="AF158" i="8" s="1" a="1"/>
  <c r="AF158" i="8" s="1"/>
  <c r="W160" i="8" a="1"/>
  <c r="W160" i="8" s="1"/>
  <c r="W158" i="8" s="1" a="1"/>
  <c r="W158" i="8" s="1"/>
  <c r="AB160" i="8" a="1"/>
  <c r="AB160" i="8" s="1"/>
  <c r="AB158" i="8" s="1" a="1"/>
  <c r="AB158" i="8" s="1"/>
  <c r="X160" i="8" a="1"/>
  <c r="X160" i="8" s="1"/>
  <c r="X158" i="8" s="1" a="1"/>
  <c r="X158" i="8" s="1"/>
  <c r="Y160" i="8" a="1"/>
  <c r="Y160" i="8" s="1"/>
  <c r="Y158" i="8" s="1" a="1"/>
  <c r="Y158" i="8" s="1"/>
  <c r="AA160" i="8" a="1"/>
  <c r="AA160" i="8" s="1"/>
  <c r="AA158" i="8" s="1" a="1"/>
  <c r="AA158" i="8" s="1"/>
  <c r="E160" i="8" a="1"/>
  <c r="E160" i="8" s="1"/>
  <c r="E158" i="8" s="1" a="1"/>
  <c r="E158" i="8" s="1"/>
  <c r="Z160" i="8" a="1"/>
  <c r="Z160" i="8" s="1"/>
  <c r="Z158" i="8" s="1" a="1"/>
  <c r="Z158" i="8" s="1"/>
  <c r="AC160" i="8" a="1"/>
  <c r="AC160" i="8" s="1"/>
  <c r="AC158" i="8" s="1" a="1"/>
  <c r="AC158" i="8" s="1"/>
  <c r="AD160" i="8" a="1"/>
  <c r="AD160" i="8" s="1"/>
  <c r="AD158" i="8" s="1" a="1"/>
  <c r="AD158" i="8" s="1"/>
  <c r="O44" i="8"/>
  <c r="R44" i="8" s="1"/>
  <c r="F46" i="8" s="1"/>
  <c r="O47" i="8"/>
  <c r="R47" i="8" s="1"/>
  <c r="O38" i="8"/>
  <c r="R38" i="8" s="1"/>
  <c r="O41" i="8"/>
  <c r="R41" i="8" s="1"/>
  <c r="O32" i="8"/>
  <c r="R32" i="8" s="1"/>
  <c r="O35" i="8"/>
  <c r="R35" i="8" s="1"/>
  <c r="O26" i="8"/>
  <c r="R26" i="8" s="1"/>
  <c r="O29" i="8"/>
  <c r="R29" i="8" s="1"/>
  <c r="O20" i="8"/>
  <c r="R20" i="8" s="1"/>
  <c r="O23" i="8"/>
  <c r="R23" i="8" s="1"/>
  <c r="R161" i="8"/>
  <c r="S163" i="8"/>
  <c r="A161" i="8"/>
  <c r="O17" i="8"/>
  <c r="R17" i="8" s="1"/>
  <c r="R165" i="8"/>
  <c r="I165" i="8" s="1"/>
  <c r="H161" i="8" a="1"/>
  <c r="H161" i="8" s="1"/>
  <c r="J162" i="8" s="1"/>
  <c r="H162" i="8" a="1"/>
  <c r="H162" i="8" s="1"/>
  <c r="G161" i="8"/>
  <c r="H29" i="8" l="1" a="1"/>
  <c r="H29" i="8" s="1"/>
  <c r="J30" i="8" s="1"/>
  <c r="H30" i="8" a="1"/>
  <c r="H30" i="8" s="1"/>
  <c r="H41" i="8" a="1"/>
  <c r="H41" i="8" s="1"/>
  <c r="J42" i="8" s="1"/>
  <c r="H42" i="8" a="1"/>
  <c r="H42" i="8" s="1"/>
  <c r="D38" i="8"/>
  <c r="H39" i="8" a="1"/>
  <c r="H39" i="8" s="1"/>
  <c r="H38" i="8" a="1"/>
  <c r="H38" i="8" s="1"/>
  <c r="J39" i="8" s="1"/>
  <c r="H35" i="8" a="1"/>
  <c r="H35" i="8" s="1"/>
  <c r="J36" i="8" s="1"/>
  <c r="H36" i="8" a="1"/>
  <c r="H36" i="8" s="1"/>
  <c r="F34" i="8"/>
  <c r="H33" i="8" a="1"/>
  <c r="H33" i="8" s="1"/>
  <c r="H32" i="8" a="1"/>
  <c r="H32" i="8" s="1"/>
  <c r="J33" i="8" s="1"/>
  <c r="H26" i="8" a="1"/>
  <c r="H26" i="8" s="1"/>
  <c r="J27" i="8" s="1"/>
  <c r="H27" i="8" a="1"/>
  <c r="H27" i="8" s="1"/>
  <c r="H23" i="8" a="1"/>
  <c r="H23" i="8" s="1"/>
  <c r="J24" i="8" s="1"/>
  <c r="H24" i="8" a="1"/>
  <c r="H24" i="8" s="1"/>
  <c r="C20" i="8"/>
  <c r="H20" i="8" a="1"/>
  <c r="H20" i="8" s="1"/>
  <c r="J21" i="8" s="1"/>
  <c r="H21" i="8" a="1"/>
  <c r="H21" i="8" s="1"/>
  <c r="H18" i="8" a="1"/>
  <c r="H18" i="8" s="1"/>
  <c r="H17" i="8" a="1"/>
  <c r="H17" i="8" s="1"/>
  <c r="J18" i="8" s="1"/>
  <c r="D44" i="8"/>
  <c r="C44" i="8"/>
  <c r="Y46" i="8" a="1"/>
  <c r="Y46" i="8" s="1"/>
  <c r="Y44" i="8" s="1" a="1"/>
  <c r="Y44" i="8" s="1"/>
  <c r="AC46" i="8" a="1"/>
  <c r="AC46" i="8" s="1"/>
  <c r="AC44" i="8" s="1" a="1"/>
  <c r="AC44" i="8" s="1"/>
  <c r="W46" i="8" a="1"/>
  <c r="W46" i="8" s="1"/>
  <c r="W44" i="8" s="1" a="1"/>
  <c r="W44" i="8" s="1"/>
  <c r="V46" i="8" a="1"/>
  <c r="V46" i="8" s="1"/>
  <c r="V44" i="8" s="1" a="1"/>
  <c r="V44" i="8" s="1"/>
  <c r="AD46" i="8" a="1"/>
  <c r="AD46" i="8" s="1"/>
  <c r="AD44" i="8" s="1" a="1"/>
  <c r="AD44" i="8" s="1"/>
  <c r="X46" i="8" a="1"/>
  <c r="X46" i="8" s="1"/>
  <c r="X44" i="8" s="1" a="1"/>
  <c r="X44" i="8" s="1"/>
  <c r="AA46" i="8" a="1"/>
  <c r="AA46" i="8" s="1"/>
  <c r="AA44" i="8" s="1" a="1"/>
  <c r="AA44" i="8" s="1"/>
  <c r="E46" i="8" a="1"/>
  <c r="E46" i="8" s="1"/>
  <c r="E44" i="8" s="1" a="1"/>
  <c r="E44" i="8" s="1"/>
  <c r="Z46" i="8" a="1"/>
  <c r="Z46" i="8" s="1"/>
  <c r="Z44" i="8" s="1" a="1"/>
  <c r="Z44" i="8" s="1"/>
  <c r="AE46" i="8" a="1"/>
  <c r="AE46" i="8" s="1"/>
  <c r="AE44" i="8" s="1" a="1"/>
  <c r="AE44" i="8" s="1"/>
  <c r="AB46" i="8" a="1"/>
  <c r="AB46" i="8" s="1"/>
  <c r="AB44" i="8" s="1" a="1"/>
  <c r="AB44" i="8" s="1"/>
  <c r="AF46" i="8" a="1"/>
  <c r="AF46" i="8" s="1"/>
  <c r="AF44" i="8" s="1" a="1"/>
  <c r="AF44" i="8" s="1"/>
  <c r="U46" i="8" a="1"/>
  <c r="U46" i="8" s="1"/>
  <c r="U44" i="8" s="1" a="1"/>
  <c r="U44" i="8" s="1"/>
  <c r="D47" i="8"/>
  <c r="C47" i="8"/>
  <c r="F49" i="8"/>
  <c r="X49" i="8" s="1" a="1"/>
  <c r="X49" i="8" s="1"/>
  <c r="X47" i="8" s="1" a="1"/>
  <c r="X47" i="8" s="1"/>
  <c r="Y49" i="8" a="1"/>
  <c r="Y49" i="8" s="1"/>
  <c r="Y47" i="8" s="1" a="1"/>
  <c r="Y47" i="8" s="1"/>
  <c r="V49" i="8" a="1"/>
  <c r="V49" i="8" s="1"/>
  <c r="V47" i="8" s="1" a="1"/>
  <c r="V47" i="8" s="1"/>
  <c r="AA49" i="8" a="1"/>
  <c r="AA49" i="8" s="1"/>
  <c r="AA47" i="8" s="1" a="1"/>
  <c r="AA47" i="8" s="1"/>
  <c r="AC49" i="8" a="1"/>
  <c r="AC49" i="8" s="1"/>
  <c r="AC47" i="8" s="1" a="1"/>
  <c r="AC47" i="8" s="1"/>
  <c r="AF49" i="8" a="1"/>
  <c r="AF49" i="8" s="1"/>
  <c r="AF47" i="8" s="1" a="1"/>
  <c r="AF47" i="8" s="1"/>
  <c r="W49" i="8" a="1"/>
  <c r="W49" i="8" s="1"/>
  <c r="W47" i="8" s="1" a="1"/>
  <c r="W47" i="8" s="1"/>
  <c r="AD49" i="8" a="1"/>
  <c r="AD49" i="8" s="1"/>
  <c r="AD47" i="8" s="1" a="1"/>
  <c r="AD47" i="8" s="1"/>
  <c r="E49" i="8" a="1"/>
  <c r="E49" i="8" s="1"/>
  <c r="E47" i="8" s="1" a="1"/>
  <c r="E47" i="8" s="1"/>
  <c r="AB49" i="8" a="1"/>
  <c r="AB49" i="8" s="1"/>
  <c r="AB47" i="8" s="1" a="1"/>
  <c r="AB47" i="8" s="1"/>
  <c r="C38" i="8"/>
  <c r="F40" i="8"/>
  <c r="W40" i="8" s="1" a="1"/>
  <c r="W40" i="8" s="1"/>
  <c r="W38" i="8" s="1" a="1"/>
  <c r="W38" i="8" s="1"/>
  <c r="F43" i="8"/>
  <c r="V43" i="8" s="1" a="1"/>
  <c r="V43" i="8" s="1"/>
  <c r="V41" i="8" s="1" a="1"/>
  <c r="V41" i="8" s="1"/>
  <c r="D41" i="8"/>
  <c r="C41" i="8"/>
  <c r="D32" i="8"/>
  <c r="C32" i="8"/>
  <c r="D35" i="8"/>
  <c r="C35" i="8"/>
  <c r="F37" i="8"/>
  <c r="U37" i="8" s="1" a="1"/>
  <c r="U37" i="8" s="1"/>
  <c r="F28" i="8"/>
  <c r="V28" i="8" s="1" a="1"/>
  <c r="V28" i="8" s="1"/>
  <c r="V26" i="8" s="1" a="1"/>
  <c r="V26" i="8" s="1"/>
  <c r="C26" i="8"/>
  <c r="D26" i="8"/>
  <c r="D29" i="8"/>
  <c r="F31" i="8"/>
  <c r="AD31" i="8" s="1" a="1"/>
  <c r="AD31" i="8" s="1"/>
  <c r="AD29" i="8" s="1" a="1"/>
  <c r="AD29" i="8" s="1"/>
  <c r="C29" i="8"/>
  <c r="D20" i="8"/>
  <c r="F22" i="8"/>
  <c r="AA22" i="8" s="1" a="1"/>
  <c r="AA22" i="8" s="1"/>
  <c r="AA20" i="8" s="1" a="1"/>
  <c r="AA20" i="8" s="1"/>
  <c r="F25" i="8"/>
  <c r="Z25" i="8" s="1" a="1"/>
  <c r="Z25" i="8" s="1"/>
  <c r="Z23" i="8" s="1" a="1"/>
  <c r="Z23" i="8" s="1"/>
  <c r="C23" i="8"/>
  <c r="D23" i="8"/>
  <c r="D17" i="8"/>
  <c r="C17" i="8"/>
  <c r="F19" i="8"/>
  <c r="AC19" i="8" s="1" a="1"/>
  <c r="AC19" i="8" s="1"/>
  <c r="AB163" i="8" a="1"/>
  <c r="AB163" i="8" s="1"/>
  <c r="AB161" i="8" s="1" a="1"/>
  <c r="AB161" i="8" s="1"/>
  <c r="V163" i="8" a="1"/>
  <c r="V163" i="8" s="1"/>
  <c r="V161" i="8" s="1" a="1"/>
  <c r="V161" i="8" s="1"/>
  <c r="AA163" i="8" a="1"/>
  <c r="AA163" i="8" s="1"/>
  <c r="AA161" i="8" s="1" a="1"/>
  <c r="AA161" i="8" s="1"/>
  <c r="U163" i="8" a="1"/>
  <c r="U163" i="8" s="1"/>
  <c r="U161" i="8" s="1" a="1"/>
  <c r="U161" i="8" s="1"/>
  <c r="AC163" i="8" a="1"/>
  <c r="AC163" i="8" s="1"/>
  <c r="AC161" i="8" s="1" a="1"/>
  <c r="AC161" i="8" s="1"/>
  <c r="E163" i="8" a="1"/>
  <c r="E163" i="8" s="1"/>
  <c r="E161" i="8" s="1" a="1"/>
  <c r="E161" i="8" s="1"/>
  <c r="Z163" i="8" a="1"/>
  <c r="Z163" i="8" s="1"/>
  <c r="Z161" i="8" s="1" a="1"/>
  <c r="Z161" i="8" s="1"/>
  <c r="AE163" i="8" a="1"/>
  <c r="AE163" i="8" s="1"/>
  <c r="AE161" i="8" s="1" a="1"/>
  <c r="AE161" i="8" s="1"/>
  <c r="AD163" i="8" a="1"/>
  <c r="AD163" i="8" s="1"/>
  <c r="AD161" i="8" s="1" a="1"/>
  <c r="AD161" i="8" s="1"/>
  <c r="Y163" i="8" a="1"/>
  <c r="Y163" i="8" s="1"/>
  <c r="Y161" i="8" s="1" a="1"/>
  <c r="Y161" i="8" s="1"/>
  <c r="X163" i="8" a="1"/>
  <c r="X163" i="8" s="1"/>
  <c r="X161" i="8" s="1" a="1"/>
  <c r="X161" i="8" s="1"/>
  <c r="W163" i="8" a="1"/>
  <c r="W163" i="8" s="1"/>
  <c r="W161" i="8" s="1" a="1"/>
  <c r="W161" i="8" s="1"/>
  <c r="AF163" i="8" a="1"/>
  <c r="AF163" i="8" s="1"/>
  <c r="AF161" i="8" s="1" a="1"/>
  <c r="AF161" i="8" s="1"/>
  <c r="F163" i="8"/>
  <c r="D161" i="8"/>
  <c r="C161" i="8"/>
  <c r="AE49" i="8" l="1" a="1"/>
  <c r="AE49" i="8" s="1"/>
  <c r="AE47" i="8" s="1" a="1"/>
  <c r="AE47" i="8" s="1"/>
  <c r="Z49" i="8" a="1"/>
  <c r="Z49" i="8" s="1"/>
  <c r="Z47" i="8" s="1" a="1"/>
  <c r="Z47" i="8" s="1"/>
  <c r="U49" i="8" a="1"/>
  <c r="U49" i="8" s="1"/>
  <c r="U47" i="8" s="1" a="1"/>
  <c r="U47" i="8" s="1"/>
  <c r="X43" i="8" a="1"/>
  <c r="X43" i="8" s="1"/>
  <c r="X41" i="8" s="1" a="1"/>
  <c r="X41" i="8" s="1"/>
  <c r="Z31" i="8" a="1"/>
  <c r="Z31" i="8" s="1"/>
  <c r="Z29" i="8" s="1" a="1"/>
  <c r="Z29" i="8" s="1"/>
  <c r="AB43" i="8" a="1"/>
  <c r="AB43" i="8" s="1"/>
  <c r="AB41" i="8" s="1" a="1"/>
  <c r="AB41" i="8" s="1"/>
  <c r="U31" i="8" a="1"/>
  <c r="U31" i="8" s="1"/>
  <c r="U29" i="8" s="1" a="1"/>
  <c r="U29" i="8" s="1"/>
  <c r="AE43" i="8" a="1"/>
  <c r="AE43" i="8" s="1"/>
  <c r="AE41" i="8" s="1" a="1"/>
  <c r="AE41" i="8" s="1"/>
  <c r="Y43" i="8" a="1"/>
  <c r="Y43" i="8" s="1"/>
  <c r="Y41" i="8" s="1" a="1"/>
  <c r="Y41" i="8" s="1"/>
  <c r="Z43" i="8" a="1"/>
  <c r="Z43" i="8" s="1"/>
  <c r="Z41" i="8" s="1" a="1"/>
  <c r="Z41" i="8" s="1"/>
  <c r="W43" i="8" a="1"/>
  <c r="W43" i="8" s="1"/>
  <c r="W41" i="8" s="1" a="1"/>
  <c r="W41" i="8" s="1"/>
  <c r="AF37" i="8" a="1"/>
  <c r="AF37" i="8" s="1"/>
  <c r="AF35" i="8" s="1" a="1"/>
  <c r="AF35" i="8" s="1"/>
  <c r="AC40" i="8" a="1"/>
  <c r="AC40" i="8" s="1"/>
  <c r="AC38" i="8" s="1" a="1"/>
  <c r="AC38" i="8" s="1"/>
  <c r="Z40" i="8" a="1"/>
  <c r="Z40" i="8" s="1"/>
  <c r="Z38" i="8" s="1" a="1"/>
  <c r="Z38" i="8" s="1"/>
  <c r="AF40" i="8" a="1"/>
  <c r="AF40" i="8" s="1"/>
  <c r="AF38" i="8" s="1" a="1"/>
  <c r="AF38" i="8" s="1"/>
  <c r="AD40" i="8" a="1"/>
  <c r="AD40" i="8" s="1"/>
  <c r="AD38" i="8" s="1" a="1"/>
  <c r="AD38" i="8" s="1"/>
  <c r="U40" i="8" a="1"/>
  <c r="U40" i="8" s="1"/>
  <c r="U38" i="8" s="1" a="1"/>
  <c r="U38" i="8" s="1"/>
  <c r="AC43" i="8" a="1"/>
  <c r="AC43" i="8" s="1"/>
  <c r="AC41" i="8" s="1" a="1"/>
  <c r="AC41" i="8" s="1"/>
  <c r="AF43" i="8" a="1"/>
  <c r="AF43" i="8" s="1"/>
  <c r="AF41" i="8" s="1" a="1"/>
  <c r="AF41" i="8" s="1"/>
  <c r="U43" i="8" a="1"/>
  <c r="U43" i="8" s="1"/>
  <c r="U41" i="8" s="1" a="1"/>
  <c r="U41" i="8" s="1"/>
  <c r="AA43" i="8" a="1"/>
  <c r="AA43" i="8" s="1"/>
  <c r="AA41" i="8" s="1" a="1"/>
  <c r="AA41" i="8" s="1"/>
  <c r="AD43" i="8" a="1"/>
  <c r="AD43" i="8" s="1"/>
  <c r="AD41" i="8" s="1" a="1"/>
  <c r="AD41" i="8" s="1"/>
  <c r="AA31" i="8" a="1"/>
  <c r="AA31" i="8" s="1"/>
  <c r="AA29" i="8" s="1" a="1"/>
  <c r="AA29" i="8" s="1"/>
  <c r="E43" i="8" a="1"/>
  <c r="E43" i="8" s="1"/>
  <c r="E41" i="8" s="1" a="1"/>
  <c r="E41" i="8" s="1"/>
  <c r="E37" i="8" a="1"/>
  <c r="E37" i="8" s="1"/>
  <c r="E35" i="8" s="1" a="1"/>
  <c r="E35" i="8" s="1"/>
  <c r="V31" i="8" a="1"/>
  <c r="V31" i="8" s="1"/>
  <c r="V29" i="8" s="1" a="1"/>
  <c r="V29" i="8" s="1"/>
  <c r="X31" i="8" a="1"/>
  <c r="X31" i="8" s="1"/>
  <c r="X29" i="8" s="1" a="1"/>
  <c r="X29" i="8" s="1"/>
  <c r="AE31" i="8" a="1"/>
  <c r="AE31" i="8" s="1"/>
  <c r="AE29" i="8" s="1" a="1"/>
  <c r="AE29" i="8" s="1"/>
  <c r="AB31" i="8" a="1"/>
  <c r="AB31" i="8" s="1"/>
  <c r="AB29" i="8" s="1" a="1"/>
  <c r="AB29" i="8" s="1"/>
  <c r="W37" i="8" a="1"/>
  <c r="W37" i="8" s="1"/>
  <c r="W35" i="8" s="1" a="1"/>
  <c r="W35" i="8" s="1"/>
  <c r="AB37" i="8" a="1"/>
  <c r="AB37" i="8" s="1"/>
  <c r="AB35" i="8" s="1" a="1"/>
  <c r="AB35" i="8" s="1"/>
  <c r="V40" i="8" a="1"/>
  <c r="V40" i="8" s="1"/>
  <c r="V38" i="8" s="1" a="1"/>
  <c r="V38" i="8" s="1"/>
  <c r="E40" i="8" a="1"/>
  <c r="E40" i="8" s="1"/>
  <c r="E38" i="8" s="1" a="1"/>
  <c r="E38" i="8" s="1"/>
  <c r="AB40" i="8" a="1"/>
  <c r="AB40" i="8" s="1"/>
  <c r="AB38" i="8" s="1" a="1"/>
  <c r="AB38" i="8" s="1"/>
  <c r="Y40" i="8" a="1"/>
  <c r="Y40" i="8" s="1"/>
  <c r="Y38" i="8" s="1" a="1"/>
  <c r="Y38" i="8" s="1"/>
  <c r="X40" i="8" a="1"/>
  <c r="X40" i="8" s="1"/>
  <c r="X38" i="8" s="1" a="1"/>
  <c r="X38" i="8" s="1"/>
  <c r="AA40" i="8" a="1"/>
  <c r="AA40" i="8" s="1"/>
  <c r="AA38" i="8" s="1" a="1"/>
  <c r="AA38" i="8" s="1"/>
  <c r="AE40" i="8" a="1"/>
  <c r="AE40" i="8" s="1"/>
  <c r="AE38" i="8" s="1" a="1"/>
  <c r="AE38" i="8" s="1"/>
  <c r="AD28" i="8" a="1"/>
  <c r="AD28" i="8" s="1"/>
  <c r="AD26" i="8" s="1" a="1"/>
  <c r="AD26" i="8" s="1"/>
  <c r="Y28" i="8" a="1"/>
  <c r="Y28" i="8" s="1"/>
  <c r="Y26" i="8" s="1" a="1"/>
  <c r="Y26" i="8" s="1"/>
  <c r="AF28" i="8" a="1"/>
  <c r="AF28" i="8" s="1"/>
  <c r="AF26" i="8" s="1" a="1"/>
  <c r="AF26" i="8" s="1"/>
  <c r="E28" i="8" a="1"/>
  <c r="E28" i="8" s="1"/>
  <c r="E26" i="8" s="1" a="1"/>
  <c r="E26" i="8" s="1"/>
  <c r="Z28" i="8" a="1"/>
  <c r="Z28" i="8" s="1"/>
  <c r="Z26" i="8" s="1" a="1"/>
  <c r="Z26" i="8" s="1"/>
  <c r="AB28" i="8" a="1"/>
  <c r="AB28" i="8" s="1"/>
  <c r="AB26" i="8" s="1" a="1"/>
  <c r="AB26" i="8" s="1"/>
  <c r="U28" i="8" a="1"/>
  <c r="U28" i="8" s="1"/>
  <c r="U26" i="8" s="1" a="1"/>
  <c r="U26" i="8" s="1"/>
  <c r="X28" i="8" a="1"/>
  <c r="X28" i="8" s="1"/>
  <c r="X26" i="8" s="1" a="1"/>
  <c r="X26" i="8" s="1"/>
  <c r="AE28" i="8" a="1"/>
  <c r="AE28" i="8" s="1"/>
  <c r="AE26" i="8" s="1" a="1"/>
  <c r="AE26" i="8" s="1"/>
  <c r="W28" i="8" a="1"/>
  <c r="W28" i="8" s="1"/>
  <c r="W26" i="8" s="1" a="1"/>
  <c r="W26" i="8" s="1"/>
  <c r="AC28" i="8" a="1"/>
  <c r="AC28" i="8" s="1"/>
  <c r="AC26" i="8" s="1" a="1"/>
  <c r="AC26" i="8" s="1"/>
  <c r="W31" i="8" a="1"/>
  <c r="W31" i="8" s="1"/>
  <c r="W29" i="8" s="1" a="1"/>
  <c r="W29" i="8" s="1"/>
  <c r="Z37" i="8" a="1"/>
  <c r="Z37" i="8" s="1"/>
  <c r="Z35" i="8" s="1" a="1"/>
  <c r="Z35" i="8" s="1"/>
  <c r="Y37" i="8" a="1"/>
  <c r="Y37" i="8" s="1"/>
  <c r="Y35" i="8" s="1" a="1"/>
  <c r="Y35" i="8" s="1"/>
  <c r="V37" i="8" a="1"/>
  <c r="V37" i="8" s="1"/>
  <c r="V35" i="8" s="1" a="1"/>
  <c r="V35" i="8" s="1"/>
  <c r="AA37" i="8" a="1"/>
  <c r="AA37" i="8" s="1"/>
  <c r="AA35" i="8" s="1" a="1"/>
  <c r="AA35" i="8" s="1"/>
  <c r="X37" i="8" a="1"/>
  <c r="X37" i="8" s="1"/>
  <c r="X35" i="8" s="1" a="1"/>
  <c r="X35" i="8" s="1"/>
  <c r="AC37" i="8" a="1"/>
  <c r="AC37" i="8" s="1"/>
  <c r="AC35" i="8" s="1" a="1"/>
  <c r="AC35" i="8" s="1"/>
  <c r="AE37" i="8" a="1"/>
  <c r="AE37" i="8" s="1"/>
  <c r="AE35" i="8" s="1" a="1"/>
  <c r="AE35" i="8" s="1"/>
  <c r="AD37" i="8" a="1"/>
  <c r="AD37" i="8" s="1"/>
  <c r="AD35" i="8" s="1" a="1"/>
  <c r="AD35" i="8" s="1"/>
  <c r="AD25" i="8" a="1"/>
  <c r="AD25" i="8" s="1"/>
  <c r="AD23" i="8" s="1" a="1"/>
  <c r="AD23" i="8" s="1"/>
  <c r="AF31" i="8" a="1"/>
  <c r="AF31" i="8" s="1"/>
  <c r="AF29" i="8" s="1" a="1"/>
  <c r="AF29" i="8" s="1"/>
  <c r="AC31" i="8" a="1"/>
  <c r="AC31" i="8" s="1"/>
  <c r="AC29" i="8" s="1" a="1"/>
  <c r="AC29" i="8" s="1"/>
  <c r="E31" i="8" a="1"/>
  <c r="E31" i="8" s="1"/>
  <c r="E29" i="8" s="1" a="1"/>
  <c r="E29" i="8" s="1"/>
  <c r="AD34" i="8" a="1"/>
  <c r="AD34" i="8" s="1"/>
  <c r="AD32" i="8" s="1" a="1"/>
  <c r="AD32" i="8" s="1"/>
  <c r="U35" i="8" a="1"/>
  <c r="U35" i="8" s="1"/>
  <c r="U34" i="8" a="1"/>
  <c r="U34" i="8" s="1"/>
  <c r="U32" i="8" s="1" a="1"/>
  <c r="U32" i="8" s="1"/>
  <c r="AF34" i="8" a="1"/>
  <c r="AF34" i="8" s="1"/>
  <c r="AF32" i="8" s="1" a="1"/>
  <c r="AF32" i="8" s="1"/>
  <c r="W34" i="8" a="1"/>
  <c r="W34" i="8" s="1"/>
  <c r="W32" i="8" s="1" a="1"/>
  <c r="W32" i="8" s="1"/>
  <c r="AB34" i="8" a="1"/>
  <c r="AB34" i="8" s="1"/>
  <c r="AB32" i="8" s="1" a="1"/>
  <c r="AB32" i="8" s="1"/>
  <c r="E34" i="8" a="1"/>
  <c r="E34" i="8" s="1"/>
  <c r="E32" i="8" s="1" a="1"/>
  <c r="E32" i="8" s="1"/>
  <c r="Z34" i="8" a="1"/>
  <c r="Z34" i="8" s="1"/>
  <c r="Z32" i="8" s="1" a="1"/>
  <c r="Z32" i="8" s="1"/>
  <c r="Y34" i="8" a="1"/>
  <c r="Y34" i="8" s="1"/>
  <c r="Y32" i="8" s="1" a="1"/>
  <c r="Y32" i="8" s="1"/>
  <c r="V34" i="8" a="1"/>
  <c r="V34" i="8" s="1"/>
  <c r="V32" i="8" s="1" a="1"/>
  <c r="V32" i="8" s="1"/>
  <c r="AA34" i="8" a="1"/>
  <c r="AA34" i="8" s="1"/>
  <c r="AA32" i="8" s="1" a="1"/>
  <c r="AA32" i="8" s="1"/>
  <c r="X34" i="8" a="1"/>
  <c r="X34" i="8" s="1"/>
  <c r="X32" i="8" s="1" a="1"/>
  <c r="X32" i="8" s="1"/>
  <c r="AC34" i="8" a="1"/>
  <c r="AC34" i="8" s="1"/>
  <c r="AC32" i="8" s="1" a="1"/>
  <c r="AC32" i="8" s="1"/>
  <c r="AB25" i="8" a="1"/>
  <c r="AB25" i="8" s="1"/>
  <c r="AB23" i="8" s="1" a="1"/>
  <c r="AB23" i="8" s="1"/>
  <c r="AE34" i="8" a="1"/>
  <c r="AE34" i="8" s="1"/>
  <c r="AE32" i="8" s="1" a="1"/>
  <c r="AE32" i="8" s="1"/>
  <c r="U25" i="8" a="1"/>
  <c r="U25" i="8" s="1"/>
  <c r="U23" i="8" s="1" a="1"/>
  <c r="U23" i="8" s="1"/>
  <c r="V25" i="8" a="1"/>
  <c r="V25" i="8" s="1"/>
  <c r="V23" i="8" s="1" a="1"/>
  <c r="V23" i="8" s="1"/>
  <c r="AE25" i="8" a="1"/>
  <c r="AE25" i="8" s="1"/>
  <c r="AE23" i="8" s="1" a="1"/>
  <c r="AE23" i="8" s="1"/>
  <c r="X25" i="8" a="1"/>
  <c r="X25" i="8" s="1"/>
  <c r="X23" i="8" s="1" a="1"/>
  <c r="X23" i="8" s="1"/>
  <c r="W25" i="8" a="1"/>
  <c r="W25" i="8" s="1"/>
  <c r="W23" i="8" s="1" a="1"/>
  <c r="W23" i="8" s="1"/>
  <c r="AF25" i="8" a="1"/>
  <c r="AF25" i="8" s="1"/>
  <c r="AF23" i="8" s="1" a="1"/>
  <c r="AF23" i="8" s="1"/>
  <c r="Y31" i="8" a="1"/>
  <c r="Y31" i="8" s="1"/>
  <c r="Y29" i="8" s="1" a="1"/>
  <c r="Y29" i="8" s="1"/>
  <c r="AA28" i="8" a="1"/>
  <c r="AA28" i="8" s="1"/>
  <c r="AA26" i="8" s="1" a="1"/>
  <c r="AA26" i="8" s="1"/>
  <c r="E25" i="8" a="1"/>
  <c r="E25" i="8" s="1"/>
  <c r="E23" i="8" s="1" a="1"/>
  <c r="E23" i="8" s="1"/>
  <c r="AA25" i="8" a="1"/>
  <c r="AA25" i="8" s="1"/>
  <c r="AA23" i="8" s="1" a="1"/>
  <c r="AA23" i="8" s="1"/>
  <c r="W19" i="8" a="1"/>
  <c r="W19" i="8" s="1"/>
  <c r="W17" i="8" s="1" a="1"/>
  <c r="W17" i="8" s="1"/>
  <c r="Y19" i="8" a="1"/>
  <c r="Y19" i="8" s="1"/>
  <c r="Y17" i="8" s="1" a="1"/>
  <c r="Y17" i="8" s="1"/>
  <c r="AC25" i="8" a="1"/>
  <c r="AC25" i="8" s="1"/>
  <c r="AC23" i="8" s="1" a="1"/>
  <c r="AC23" i="8" s="1"/>
  <c r="AE19" i="8" a="1"/>
  <c r="AE19" i="8" s="1"/>
  <c r="AE17" i="8" s="1" a="1"/>
  <c r="AE17" i="8" s="1"/>
  <c r="X19" i="8" a="1"/>
  <c r="X19" i="8" s="1"/>
  <c r="X17" i="8" s="1" a="1"/>
  <c r="X17" i="8" s="1"/>
  <c r="Y25" i="8" a="1"/>
  <c r="Y25" i="8" s="1"/>
  <c r="Y23" i="8" s="1" a="1"/>
  <c r="Y23" i="8" s="1"/>
  <c r="AC22" i="8" a="1"/>
  <c r="AC22" i="8" s="1"/>
  <c r="AC20" i="8" s="1" a="1"/>
  <c r="AC20" i="8" s="1"/>
  <c r="E22" i="8" a="1"/>
  <c r="E22" i="8" s="1"/>
  <c r="E20" i="8" s="1" a="1"/>
  <c r="E20" i="8" s="1"/>
  <c r="AB19" i="8" a="1"/>
  <c r="AB19" i="8" s="1"/>
  <c r="AB17" i="8" s="1" a="1"/>
  <c r="AB17" i="8" s="1"/>
  <c r="AF22" i="8" a="1"/>
  <c r="AF22" i="8" s="1"/>
  <c r="AF20" i="8" s="1" a="1"/>
  <c r="AF20" i="8" s="1"/>
  <c r="Y22" i="8" a="1"/>
  <c r="Y22" i="8" s="1"/>
  <c r="Y20" i="8" s="1" a="1"/>
  <c r="Y20" i="8" s="1"/>
  <c r="X22" i="8" a="1"/>
  <c r="X22" i="8" s="1"/>
  <c r="X20" i="8" s="1" a="1"/>
  <c r="X20" i="8" s="1"/>
  <c r="V22" i="8" a="1"/>
  <c r="V22" i="8" s="1"/>
  <c r="V20" i="8" s="1" a="1"/>
  <c r="V20" i="8" s="1"/>
  <c r="Z22" i="8" a="1"/>
  <c r="Z22" i="8" s="1"/>
  <c r="Z20" i="8" s="1" a="1"/>
  <c r="Z20" i="8" s="1"/>
  <c r="AE22" i="8" a="1"/>
  <c r="AE22" i="8" s="1"/>
  <c r="AE20" i="8" s="1" a="1"/>
  <c r="AE20" i="8" s="1"/>
  <c r="W22" i="8" a="1"/>
  <c r="W22" i="8" s="1"/>
  <c r="W20" i="8" s="1" a="1"/>
  <c r="W20" i="8" s="1"/>
  <c r="AD22" i="8" a="1"/>
  <c r="AD22" i="8" s="1"/>
  <c r="AD20" i="8" s="1" a="1"/>
  <c r="AD20" i="8" s="1"/>
  <c r="U22" i="8" a="1"/>
  <c r="U22" i="8" s="1"/>
  <c r="U20" i="8" s="1" a="1"/>
  <c r="U20" i="8" s="1"/>
  <c r="AB22" i="8" a="1"/>
  <c r="AB22" i="8" s="1"/>
  <c r="AB20" i="8" s="1" a="1"/>
  <c r="AB20" i="8" s="1"/>
  <c r="AF19" i="8" a="1"/>
  <c r="AF19" i="8" s="1"/>
  <c r="E19" i="8" a="1"/>
  <c r="E19" i="8" s="1"/>
  <c r="U19" i="8" a="1"/>
  <c r="U19" i="8" s="1"/>
  <c r="AD19" i="8" a="1"/>
  <c r="AD19" i="8" s="1"/>
  <c r="Z19" i="8" a="1"/>
  <c r="Z19" i="8" s="1"/>
  <c r="V19" i="8" a="1"/>
  <c r="V19" i="8" s="1"/>
  <c r="AA19" i="8" a="1"/>
  <c r="AA19" i="8" s="1"/>
  <c r="AC17" i="8" a="1"/>
  <c r="AC17" i="8" s="1"/>
  <c r="Z16" i="8" l="1" a="1"/>
  <c r="Z16" i="8" s="1"/>
  <c r="Z14" i="8" s="1" a="1"/>
  <c r="Z14" i="8" s="1"/>
  <c r="AC16" i="8" a="1"/>
  <c r="AC16" i="8" s="1"/>
  <c r="AC14" i="8" s="1" a="1"/>
  <c r="AC14" i="8" s="1"/>
  <c r="AF16" i="8" a="1"/>
  <c r="AF16" i="8" s="1"/>
  <c r="AF14" i="8" s="1" a="1"/>
  <c r="AF14" i="8" s="1"/>
  <c r="Y16" i="8" a="1"/>
  <c r="Y16" i="8" s="1"/>
  <c r="Y14" i="8" s="1" a="1"/>
  <c r="Y14" i="8" s="1"/>
  <c r="AE16" i="8" a="1"/>
  <c r="AE16" i="8" s="1"/>
  <c r="AE14" i="8" s="1" a="1"/>
  <c r="AE14" i="8" s="1"/>
  <c r="U16" i="8" a="1"/>
  <c r="U16" i="8" s="1"/>
  <c r="U14" i="8" s="1" a="1"/>
  <c r="U14" i="8" s="1"/>
  <c r="AB16" i="8" a="1"/>
  <c r="AB16" i="8" s="1"/>
  <c r="AB14" i="8" s="1" a="1"/>
  <c r="AB14" i="8" s="1"/>
  <c r="W16" i="8" a="1"/>
  <c r="W16" i="8" s="1"/>
  <c r="W14" i="8" s="1" a="1"/>
  <c r="W14" i="8" s="1"/>
  <c r="AD16" i="8" a="1"/>
  <c r="AD16" i="8" s="1"/>
  <c r="AD14" i="8" s="1" a="1"/>
  <c r="AD14" i="8" s="1"/>
  <c r="X16" i="8" a="1"/>
  <c r="X16" i="8" s="1"/>
  <c r="X14" i="8" s="1" a="1"/>
  <c r="X14" i="8" s="1"/>
  <c r="AF17" i="8" a="1"/>
  <c r="AF17" i="8" s="1"/>
  <c r="AD17" i="8" a="1"/>
  <c r="AD17" i="8" s="1"/>
  <c r="Z17" i="8" a="1"/>
  <c r="Z17" i="8" s="1"/>
  <c r="U17" i="8" a="1"/>
  <c r="U17" i="8" s="1"/>
  <c r="AA16" i="8" a="1"/>
  <c r="AA16" i="8" s="1"/>
  <c r="AA14" i="8" s="1" a="1"/>
  <c r="AA14" i="8" s="1"/>
  <c r="AA17" i="8" a="1"/>
  <c r="AA17" i="8" s="1"/>
  <c r="V16" i="8" a="1"/>
  <c r="V16" i="8" s="1"/>
  <c r="V17" i="8" a="1"/>
  <c r="V17" i="8" s="1"/>
  <c r="E16" i="8" a="1"/>
  <c r="E16" i="8" s="1"/>
  <c r="E17" i="8" a="1"/>
  <c r="E17" i="8" s="1"/>
  <c r="U174" i="8" l="1"/>
  <c r="U170" i="8" s="1"/>
  <c r="H70" i="9" s="1"/>
  <c r="H73" i="9" s="1"/>
  <c r="E172" i="8" a="1"/>
  <c r="E172" i="8" s="1"/>
  <c r="E167" i="8" s="1"/>
  <c r="E14" i="8" a="1"/>
  <c r="E14" i="8" s="1"/>
  <c r="E174" i="8"/>
  <c r="E173" i="8" a="1"/>
  <c r="E173" i="8" s="1"/>
  <c r="E168" i="8" s="1"/>
  <c r="U172" i="8" a="1"/>
  <c r="U172" i="8" s="1"/>
  <c r="U173" i="8" a="1"/>
  <c r="U173" i="8" s="1"/>
  <c r="V14" i="8" a="1"/>
  <c r="V14" i="8" s="1"/>
  <c r="H71" i="9" l="1"/>
  <c r="V174" i="8"/>
  <c r="J71" i="9" s="1"/>
  <c r="U169" i="8"/>
  <c r="V173" i="8" a="1"/>
  <c r="V173" i="8" s="1"/>
  <c r="U168" i="8"/>
  <c r="U171" i="8"/>
  <c r="U166" i="8" s="1"/>
  <c r="V172" i="8" a="1"/>
  <c r="V172" i="8" s="1"/>
  <c r="U167" i="8"/>
  <c r="E170" i="8"/>
  <c r="E175" i="8" s="1"/>
  <c r="E169" i="8"/>
  <c r="E165" i="8" s="1"/>
  <c r="E171" i="8"/>
  <c r="E166" i="8" s="1"/>
  <c r="W174" i="8" l="1"/>
  <c r="L71" i="9" s="1"/>
  <c r="V170" i="8"/>
  <c r="J70" i="9" s="1"/>
  <c r="J73" i="9" s="1"/>
  <c r="V169" i="8"/>
  <c r="V165" i="8" s="1"/>
  <c r="J68" i="9" s="1"/>
  <c r="H69" i="9"/>
  <c r="U165" i="8"/>
  <c r="H68" i="9" s="1"/>
  <c r="V167" i="8"/>
  <c r="W172" i="8" a="1"/>
  <c r="W172" i="8" s="1"/>
  <c r="W173" i="8" a="1"/>
  <c r="W173" i="8" s="1"/>
  <c r="V168" i="8"/>
  <c r="V171" i="8"/>
  <c r="V166" i="8" s="1"/>
  <c r="J69" i="9" l="1"/>
  <c r="X174" i="8"/>
  <c r="X170" i="8" s="1"/>
  <c r="N70" i="9" s="1"/>
  <c r="N73" i="9" s="1"/>
  <c r="W169" i="8"/>
  <c r="W165" i="8" s="1"/>
  <c r="L68" i="9" s="1"/>
  <c r="W170" i="8"/>
  <c r="L70" i="9" s="1"/>
  <c r="L73" i="9" s="1"/>
  <c r="W171" i="8"/>
  <c r="W166" i="8" s="1"/>
  <c r="X172" i="8" a="1"/>
  <c r="X172" i="8" s="1"/>
  <c r="W167" i="8"/>
  <c r="L69" i="9"/>
  <c r="X173" i="8" a="1"/>
  <c r="X173" i="8" s="1"/>
  <c r="W168" i="8"/>
  <c r="Y174" i="8" l="1"/>
  <c r="Y170" i="8" s="1"/>
  <c r="P70" i="9" s="1"/>
  <c r="P73" i="9" s="1"/>
  <c r="X169" i="8"/>
  <c r="N69" i="9" s="1"/>
  <c r="N71" i="9"/>
  <c r="Y173" i="8" a="1"/>
  <c r="Y173" i="8" s="1"/>
  <c r="X168" i="8"/>
  <c r="Y172" i="8" a="1"/>
  <c r="Y172" i="8" s="1"/>
  <c r="X167" i="8"/>
  <c r="X171" i="8"/>
  <c r="X166" i="8" s="1"/>
  <c r="X165" i="8" l="1"/>
  <c r="N68" i="9" s="1"/>
  <c r="Z174" i="8"/>
  <c r="Z170" i="8" s="1"/>
  <c r="R70" i="9" s="1"/>
  <c r="R73" i="9" s="1"/>
  <c r="P71" i="9"/>
  <c r="Y169" i="8"/>
  <c r="Y171" i="8"/>
  <c r="Y166" i="8" s="1"/>
  <c r="Z172" i="8" a="1"/>
  <c r="Z172" i="8" s="1"/>
  <c r="Y167" i="8"/>
  <c r="Y165" i="8"/>
  <c r="P68" i="9" s="1"/>
  <c r="P69" i="9"/>
  <c r="Y168" i="8"/>
  <c r="Z173" i="8" a="1"/>
  <c r="Z173" i="8" s="1"/>
  <c r="AA174" i="8" l="1"/>
  <c r="AA170" i="8" s="1"/>
  <c r="T70" i="9" s="1"/>
  <c r="T73" i="9" s="1"/>
  <c r="R71" i="9"/>
  <c r="Z169" i="8"/>
  <c r="Z165" i="8" s="1"/>
  <c r="R68" i="9" s="1"/>
  <c r="AA173" i="8" a="1"/>
  <c r="AA173" i="8" s="1"/>
  <c r="Z171" i="8"/>
  <c r="Z166" i="8" s="1"/>
  <c r="Z168" i="8"/>
  <c r="AA172" i="8" a="1"/>
  <c r="AA172" i="8" s="1"/>
  <c r="Z167" i="8"/>
  <c r="R69" i="9" l="1"/>
  <c r="AB174" i="8"/>
  <c r="V71" i="9" s="1"/>
  <c r="T71" i="9"/>
  <c r="AA169" i="8"/>
  <c r="AA165" i="8" s="1"/>
  <c r="T68" i="9" s="1"/>
  <c r="AA171" i="8"/>
  <c r="AA166" i="8" s="1"/>
  <c r="AA167" i="8"/>
  <c r="AB172" i="8" a="1"/>
  <c r="AB172" i="8" s="1"/>
  <c r="AA168" i="8"/>
  <c r="AB173" i="8" a="1"/>
  <c r="AB173" i="8" s="1"/>
  <c r="T69" i="9" l="1"/>
  <c r="AC174" i="8"/>
  <c r="X71" i="9" s="1"/>
  <c r="AB169" i="8"/>
  <c r="AB165" i="8" s="1"/>
  <c r="V68" i="9" s="1"/>
  <c r="AB170" i="8"/>
  <c r="V70" i="9" s="1"/>
  <c r="V73" i="9" s="1"/>
  <c r="AC173" i="8" a="1"/>
  <c r="AC173" i="8" s="1"/>
  <c r="AB168" i="8"/>
  <c r="AB167" i="8"/>
  <c r="AC172" i="8" a="1"/>
  <c r="AC172" i="8" s="1"/>
  <c r="AB171" i="8"/>
  <c r="AB166" i="8" s="1"/>
  <c r="V69" i="9" l="1"/>
  <c r="AD174" i="8"/>
  <c r="AD169" i="8" s="1"/>
  <c r="AC169" i="8"/>
  <c r="AC165" i="8" s="1"/>
  <c r="X68" i="9" s="1"/>
  <c r="AC170" i="8"/>
  <c r="X70" i="9" s="1"/>
  <c r="X73" i="9" s="1"/>
  <c r="AC168" i="8"/>
  <c r="AD173" i="8" a="1"/>
  <c r="AD173" i="8" s="1"/>
  <c r="AC167" i="8"/>
  <c r="AD172" i="8" a="1"/>
  <c r="AD172" i="8" s="1"/>
  <c r="X69" i="9"/>
  <c r="AC171" i="8"/>
  <c r="AC166" i="8" s="1"/>
  <c r="AE174" i="8" l="1"/>
  <c r="AB71" i="9" s="1"/>
  <c r="Z71" i="9"/>
  <c r="AD170" i="8"/>
  <c r="Z70" i="9" s="1"/>
  <c r="Z73" i="9" s="1"/>
  <c r="AD171" i="8"/>
  <c r="AD166" i="8" s="1"/>
  <c r="AE172" i="8" a="1"/>
  <c r="AE172" i="8" s="1"/>
  <c r="AD167" i="8"/>
  <c r="AD165" i="8"/>
  <c r="Z68" i="9" s="1"/>
  <c r="Z69" i="9"/>
  <c r="AE173" i="8" a="1"/>
  <c r="AE173" i="8" s="1"/>
  <c r="AD168" i="8"/>
  <c r="AF174" i="8" l="1"/>
  <c r="AF170" i="8" s="1"/>
  <c r="AE169" i="8"/>
  <c r="AB69" i="9" s="1"/>
  <c r="AE170" i="8"/>
  <c r="AB70" i="9" s="1"/>
  <c r="AB73" i="9" s="1"/>
  <c r="AE171" i="8"/>
  <c r="AE166" i="8" s="1"/>
  <c r="AF173" i="8" a="1"/>
  <c r="AF173" i="8" s="1"/>
  <c r="AF168" i="8" s="1"/>
  <c r="AE168" i="8"/>
  <c r="AF172" i="8" a="1"/>
  <c r="AF172" i="8" s="1"/>
  <c r="AF167" i="8" s="1"/>
  <c r="AE167" i="8"/>
  <c r="AE165" i="8" l="1"/>
  <c r="AB68" i="9" s="1"/>
  <c r="K10" i="8" a="1"/>
  <c r="K10" i="8" s="1"/>
  <c r="AD71" i="9"/>
  <c r="B6" i="9" a="1"/>
  <c r="B6" i="9" s="1"/>
  <c r="M13" i="9" s="1"/>
  <c r="AD70" i="9"/>
  <c r="AD73" i="9" s="1"/>
  <c r="G73" i="9" s="1"/>
  <c r="F11" i="8" a="1"/>
  <c r="F11" i="8" s="1"/>
  <c r="AF169" i="8"/>
  <c r="AD69" i="9" s="1"/>
  <c r="AF171" i="8"/>
  <c r="AF166" i="8" s="1"/>
  <c r="AF165" i="8" l="1"/>
  <c r="AD68" i="9" s="1"/>
  <c r="F20" i="12" a="1"/>
  <c r="F20" i="12" s="1"/>
  <c r="G20" i="6"/>
  <c r="AF21" i="5" a="1"/>
  <c r="AF18" i="5" a="1"/>
  <c r="AF20" i="5" a="1"/>
  <c r="AF20" i="5" l="1"/>
  <c r="AF18" i="5"/>
  <c r="AF21" i="5"/>
  <c r="S18" i="5" a="1"/>
  <c r="AG21" i="5" a="1"/>
  <c r="AG18" i="5" a="1"/>
  <c r="R18" i="5" a="1"/>
  <c r="AG20" i="5" a="1"/>
  <c r="S21" i="5" a="1"/>
  <c r="R21" i="5" a="1"/>
  <c r="R20" i="5" a="1"/>
  <c r="R20" i="5" l="1"/>
  <c r="R21" i="5"/>
  <c r="S21" i="5"/>
  <c r="AG20" i="5"/>
  <c r="R18" i="5"/>
  <c r="AG18" i="5"/>
  <c r="AG21" i="5"/>
  <c r="S18" i="5"/>
  <c r="F18" i="12" l="1" a="1"/>
  <c r="F18" i="12" s="1"/>
  <c r="G18" i="6"/>
  <c r="E18" i="12"/>
  <c r="AC18" i="5" a="1"/>
  <c r="AC18" i="5" s="1"/>
  <c r="F18" i="6"/>
  <c r="F21" i="12" a="1"/>
  <c r="F21" i="12" s="1"/>
  <c r="G21" i="6"/>
  <c r="F21" i="6"/>
  <c r="E21" i="12"/>
  <c r="AC21" i="5" a="1"/>
  <c r="AC21" i="5" s="1"/>
  <c r="J21" i="6" s="1" a="1"/>
  <c r="J21" i="6" s="1"/>
  <c r="AC20" i="5" a="1"/>
  <c r="AC20" i="5" s="1"/>
  <c r="J20" i="6" s="1" a="1"/>
  <c r="J20" i="6" s="1"/>
  <c r="E20" i="12"/>
  <c r="F20" i="6"/>
  <c r="J18" i="6" l="1" a="1"/>
  <c r="J18" i="6" s="1"/>
  <c r="AC7" i="5"/>
  <c r="AC11" i="5"/>
  <c r="O12" i="5" a="1"/>
  <c r="O12" i="5" s="1"/>
  <c r="I12" i="6" l="1"/>
  <c r="N11" i="6"/>
  <c r="F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<sst xmlns="http://schemas.openxmlformats.org/spreadsheetml/2006/main" count="1822" uniqueCount="1018">
  <si>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</si>
  <si>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</si>
  <si>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</si>
  <si>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</si>
  <si>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</si>
  <si>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</si>
  <si>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</si>
  <si>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</si>
  <si>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</si>
  <si>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</si>
  <si>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</si>
  <si>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</si>
  <si>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</si>
  <si>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</si>
  <si>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</si>
  <si>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</si>
  <si>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</si>
  <si>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</si>
  <si>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</si>
  <si>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</si>
  <si>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</si>
  <si>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</si>
  <si>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</si>
  <si>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</si>
  <si>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</si>
  <si>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</si>
  <si>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</si>
  <si>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</si>
  <si>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</si>
  <si>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</si>
  <si>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</si>
  <si>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</si>
  <si>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</si>
  <si>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</si>
  <si>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</si>
  <si>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</si>
  <si>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</si>
  <si>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</si>
  <si>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</si>
  <si>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</si>
  <si>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</si>
  <si>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</si>
  <si>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</si>
  <si>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</si>
  <si>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</si>
  <si>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</si>
  <si>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</si>
  <si>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</si>
  <si>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</si>
  <si>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</si>
  <si>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</si>
  <si>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</si>
  <si>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</si>
  <si>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</si>
  <si>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</si>
  <si>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</si>
  <si>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</si>
  <si>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</si>
  <si>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</si>
  <si>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</si>
  <si>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</si>
  <si>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</si>
  <si>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</si>
  <si>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</si>
  <si>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</si>
  <si>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</si>
  <si>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</si>
  <si>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</si>
  <si>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</si>
  <si>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</si>
  <si>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</si>
  <si>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</si>
  <si>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</si>
  <si>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</si>
  <si>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</si>
  <si>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</si>
  <si>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</si>
  <si>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</si>
  <si>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</si>
  <si>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</si>
  <si>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</si>
  <si>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</si>
  <si>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</si>
  <si>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</si>
  <si>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</si>
  <si>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</si>
  <si>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</si>
  <si>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</si>
  <si>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</si>
  <si>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</si>
  <si>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</si>
  <si>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</si>
  <si>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</si>
  <si>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</si>
  <si>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</si>
  <si>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</si>
  <si>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</si>
  <si>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</si>
  <si>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</si>
  <si>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</si>
  <si>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</si>
  <si>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</si>
  <si>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</si>
  <si>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</si>
  <si>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</si>
  <si>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</si>
  <si>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</si>
  <si>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</si>
  <si>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</si>
  <si>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</si>
  <si>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</si>
  <si>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</si>
  <si>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</si>
  <si>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</si>
  <si>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</si>
  <si>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</si>
  <si>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</si>
  <si>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</si>
  <si>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</si>
  <si>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</si>
  <si>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</si>
  <si>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</si>
  <si>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</si>
  <si>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</si>
  <si>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</si>
  <si>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</si>
  <si>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</si>
  <si>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</si>
  <si>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</si>
  <si>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</si>
  <si>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</si>
  <si>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</si>
  <si>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</si>
  <si>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</si>
  <si>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</si>
  <si>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</si>
  <si>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</si>
  <si>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</si>
  <si>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</si>
  <si>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</si>
  <si>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</si>
  <si>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</si>
  <si>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</si>
  <si>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</si>
  <si>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</si>
  <si>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</si>
  <si>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</si>
  <si>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</si>
  <si>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</si>
  <si>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</si>
  <si>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</si>
  <si>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</si>
  <si>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</si>
  <si>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</si>
  <si>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</si>
  <si>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</si>
  <si>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</si>
  <si>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</si>
  <si>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</si>
  <si>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</si>
  <si>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</si>
  <si>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</si>
  <si>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</si>
  <si>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</si>
  <si>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</si>
  <si>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</si>
  <si>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</si>
  <si>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</si>
  <si>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</si>
  <si>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</si>
  <si>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</si>
  <si>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</si>
  <si>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</si>
  <si>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</si>
  <si>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</si>
  <si>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</si>
  <si>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</si>
  <si>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</si>
  <si>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</si>
  <si>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</si>
  <si>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</si>
  <si>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</si>
  <si>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</si>
  <si>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</si>
  <si>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</si>
  <si>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</si>
  <si>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</si>
  <si>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</si>
  <si>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</si>
  <si>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</si>
  <si>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</si>
  <si>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</si>
  <si>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</si>
  <si>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</si>
  <si>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</si>
  <si>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</si>
  <si>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</si>
  <si>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</si>
  <si>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</si>
  <si>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</si>
  <si>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</si>
  <si>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</si>
  <si>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</si>
  <si>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</si>
  <si>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</si>
  <si>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</si>
  <si>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</si>
  <si>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</si>
  <si>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</si>
  <si>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</si>
  <si>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</si>
  <si>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</si>
  <si>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</si>
  <si>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</si>
  <si>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</si>
  <si>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</si>
  <si>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</si>
  <si>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</si>
  <si>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</si>
  <si>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</si>
  <si>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</si>
  <si>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</si>
  <si>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</si>
  <si>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</si>
  <si>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</si>
  <si>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</si>
  <si>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</si>
  <si>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</si>
  <si>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</si>
  <si>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</si>
  <si>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</si>
  <si>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</si>
  <si>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</si>
  <si>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</si>
  <si>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</si>
  <si>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</si>
  <si>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</si>
  <si>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</si>
  <si>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</si>
  <si>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</si>
  <si>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</si>
  <si>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</si>
  <si>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</si>
  <si>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</si>
  <si>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</si>
  <si>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</si>
  <si>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</si>
  <si>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</si>
  <si>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</si>
  <si>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</si>
  <si>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</si>
  <si>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</si>
  <si>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</si>
  <si>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</si>
  <si>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</si>
  <si>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</si>
  <si>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</si>
  <si>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</si>
  <si>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</si>
  <si>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</si>
  <si>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</si>
  <si>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</si>
  <si>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</si>
  <si>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</si>
  <si>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</si>
  <si>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</si>
  <si>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</si>
  <si>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</si>
  <si>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</si>
  <si>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</si>
  <si>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</si>
  <si>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</si>
  <si>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</si>
  <si>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</si>
  <si>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</si>
  <si>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</si>
  <si>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</si>
  <si>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</si>
  <si>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</si>
  <si>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</si>
  <si>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</si>
  <si>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</si>
  <si>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</si>
  <si>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</si>
  <si>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</si>
  <si>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</si>
  <si>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</si>
  <si>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</si>
  <si>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</si>
  <si>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</si>
  <si>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</si>
  <si>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</si>
  <si>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</si>
  <si>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</si>
  <si>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</si>
  <si>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</si>
  <si>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</si>
  <si>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</si>
  <si>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</si>
  <si>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</si>
  <si>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</si>
  <si>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</si>
  <si>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</si>
  <si>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</si>
  <si>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</si>
  <si>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</si>
  <si>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</si>
  <si>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</si>
  <si>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</si>
  <si>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</si>
  <si>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</si>
  <si>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</si>
  <si>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</si>
  <si>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</si>
  <si>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</si>
  <si>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</si>
  <si>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</si>
  <si>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</si>
  <si>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</si>
  <si>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</si>
  <si>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</si>
  <si>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</si>
  <si>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</si>
  <si>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</si>
  <si>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</si>
  <si>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</si>
  <si>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</si>
  <si>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</si>
  <si>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</si>
  <si>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</si>
  <si>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</si>
  <si>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</si>
  <si>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</si>
  <si>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</si>
  <si>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</si>
  <si>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</si>
  <si>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</si>
  <si>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</si>
  <si>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</si>
  <si>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</si>
  <si>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</si>
  <si>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</si>
  <si>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</si>
  <si>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</si>
  <si>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</si>
  <si>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</si>
  <si>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</si>
  <si>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</si>
  <si>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</si>
  <si>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</si>
  <si>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</si>
  <si>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</si>
  <si>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</si>
  <si>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</si>
  <si>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</si>
  <si>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</si>
  <si>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</si>
  <si>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</si>
  <si>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</si>
  <si>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</si>
  <si>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</si>
  <si>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</si>
  <si>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</si>
  <si>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</si>
  <si>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</si>
  <si>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</si>
  <si>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</si>
  <si>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</si>
  <si>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</si>
  <si>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</si>
  <si>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</si>
  <si>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</si>
  <si>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</si>
  <si>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</si>
  <si>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</si>
  <si>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</si>
  <si>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</si>
  <si>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</si>
  <si>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</si>
  <si>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</si>
  <si>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</si>
  <si>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</si>
  <si>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</si>
  <si>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</si>
  <si>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</si>
  <si>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</si>
  <si>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</si>
  <si>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</si>
  <si>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</si>
  <si>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</si>
  <si>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</si>
  <si>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</si>
  <si>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</si>
  <si>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</si>
  <si>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</si>
  <si>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</si>
  <si>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</si>
  <si>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</si>
  <si>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</si>
  <si>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</si>
  <si>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</si>
  <si>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</si>
  <si>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</si>
  <si>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</si>
  <si>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</si>
  <si>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</si>
  <si>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</si>
  <si>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</si>
  <si>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</si>
  <si>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</si>
  <si>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</si>
  <si>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</si>
  <si>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</si>
  <si>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</si>
  <si>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</si>
  <si>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</si>
  <si>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</si>
  <si>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</si>
  <si>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</si>
  <si>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</si>
  <si>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</si>
  <si>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</si>
  <si>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</si>
  <si>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</si>
  <si>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</si>
  <si>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</si>
  <si>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</si>
  <si>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</si>
  <si>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</si>
  <si>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</si>
  <si>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</si>
  <si>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</si>
  <si>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</si>
  <si>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</si>
  <si>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</si>
  <si>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</si>
  <si>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</si>
  <si>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</si>
  <si>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</si>
  <si>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</si>
  <si>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</si>
  <si>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</si>
  <si>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</si>
  <si>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</si>
  <si>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</si>
  <si>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</si>
  <si>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</si>
  <si>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</si>
  <si>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</si>
  <si>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</si>
  <si>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</si>
  <si>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</si>
  <si>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</si>
  <si>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</si>
  <si>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</si>
  <si>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</si>
  <si>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</si>
  <si>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</si>
  <si>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</si>
  <si>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</si>
  <si>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</si>
  <si>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</si>
  <si>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</si>
  <si>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</si>
  <si>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</si>
  <si>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</si>
  <si>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</si>
  <si>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</si>
  <si>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</si>
  <si>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</si>
  <si>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</si>
  <si>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</si>
  <si>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</si>
  <si>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</si>
  <si>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</si>
  <si>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</si>
  <si>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</si>
  <si>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</si>
  <si>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</si>
  <si>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</si>
  <si>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</si>
  <si>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</si>
  <si>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</si>
  <si>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</si>
  <si>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</si>
  <si>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</si>
  <si>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</si>
  <si>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</si>
  <si>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</si>
  <si>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</si>
  <si>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</si>
  <si>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</si>
  <si>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</si>
  <si>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</si>
  <si>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</si>
  <si>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</si>
  <si>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</si>
  <si>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</si>
  <si>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</si>
  <si>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</si>
  <si>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</si>
  <si>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</si>
  <si>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</si>
  <si>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</si>
  <si>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</si>
  <si>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</si>
  <si>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</si>
  <si>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</si>
  <si>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</si>
  <si>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</si>
  <si>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</si>
  <si>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</si>
  <si>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</si>
  <si>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</si>
  <si>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</si>
  <si>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</si>
  <si>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</si>
  <si>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</si>
  <si>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</si>
  <si>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</si>
  <si>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</si>
  <si>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</si>
  <si>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</si>
  <si>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</si>
  <si>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</si>
  <si>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</si>
  <si>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</si>
  <si>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</si>
  <si>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</si>
  <si>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</si>
  <si>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</si>
  <si>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</si>
  <si>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</si>
  <si>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</si>
  <si>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</si>
  <si>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</si>
  <si>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</si>
  <si>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</si>
  <si>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</si>
  <si>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</si>
  <si>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</si>
  <si>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</si>
  <si>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</si>
  <si>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</si>
  <si>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</si>
  <si>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</si>
  <si>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</si>
  <si>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</si>
  <si>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</si>
  <si>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</si>
  <si>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</si>
  <si>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</si>
  <si>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</si>
  <si>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</si>
  <si>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</si>
  <si>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</si>
  <si>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</si>
  <si>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</si>
  <si>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</si>
  <si>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</si>
  <si>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</si>
  <si>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</si>
  <si>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</si>
  <si>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</si>
  <si>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</si>
  <si>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</si>
  <si>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</si>
  <si>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</si>
  <si>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</si>
  <si>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</si>
  <si>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</si>
  <si>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</si>
  <si>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</si>
  <si>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</si>
  <si>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</si>
  <si>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</si>
  <si>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</si>
  <si>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</si>
  <si>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</si>
  <si>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</si>
  <si>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</si>
  <si>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</si>
  <si>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</si>
  <si>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</si>
  <si>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</si>
  <si>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</si>
  <si>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</si>
  <si>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</si>
  <si>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</si>
  <si>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</si>
  <si>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</si>
  <si>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</si>
  <si>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</si>
  <si>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</si>
  <si>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</si>
  <si>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</si>
  <si>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</si>
  <si>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</si>
  <si>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</si>
  <si>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</si>
  <si>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</si>
  <si>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</si>
  <si>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</si>
  <si>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</si>
  <si>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</si>
  <si>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</si>
  <si>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</si>
  <si>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</si>
  <si>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</si>
  <si>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</si>
  <si>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</si>
  <si>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</si>
  <si>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</si>
  <si>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</si>
  <si>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</si>
  <si>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</si>
  <si>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</si>
  <si>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</si>
  <si>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</si>
  <si>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</si>
  <si>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</si>
  <si>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</si>
  <si>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</si>
  <si>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</si>
  <si>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</si>
  <si>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</si>
  <si>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</si>
  <si>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</si>
  <si>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</si>
  <si>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</si>
  <si>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</si>
  <si>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</si>
  <si>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</si>
  <si>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</si>
  <si>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</si>
  <si>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</si>
  <si>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</si>
  <si>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</si>
  <si>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</si>
  <si>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</si>
  <si>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</si>
  <si>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</si>
  <si>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</si>
  <si>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</si>
  <si>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</si>
  <si>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</si>
  <si>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</si>
  <si>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</si>
  <si>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</si>
  <si>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</si>
  <si>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</si>
  <si>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</si>
  <si>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</si>
  <si>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</si>
  <si>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</si>
  <si>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</si>
  <si>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</si>
  <si>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</si>
  <si>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</si>
  <si>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</si>
  <si>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</si>
  <si>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</si>
  <si>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</si>
  <si>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</si>
  <si>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</si>
  <si>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</si>
  <si>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</si>
  <si>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</si>
  <si>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</si>
  <si>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</si>
  <si>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</si>
  <si>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</si>
  <si>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</si>
  <si>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</si>
  <si>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</si>
  <si>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</si>
  <si>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</si>
  <si>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</si>
  <si>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</si>
  <si>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</si>
  <si>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</si>
  <si>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</si>
  <si>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</si>
  <si>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</si>
  <si>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</si>
  <si>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</si>
  <si>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</si>
  <si>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</si>
  <si>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</si>
  <si>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</si>
  <si>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</si>
  <si>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</si>
  <si>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</si>
  <si>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</si>
  <si>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</si>
  <si>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</si>
  <si>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</si>
  <si>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</si>
  <si>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</si>
  <si>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</si>
  <si>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</si>
  <si>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</si>
  <si>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</si>
  <si>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</si>
  <si>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</si>
  <si>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</si>
  <si>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</si>
  <si>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</si>
  <si>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</si>
  <si>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</si>
  <si>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</si>
  <si>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</si>
  <si>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</si>
  <si>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</si>
  <si>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</si>
  <si>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</si>
  <si>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</si>
  <si>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</si>
  <si>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</si>
  <si>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</si>
  <si>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</si>
  <si>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</si>
  <si>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</si>
  <si>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</si>
  <si>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</si>
  <si>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</si>
  <si>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</si>
  <si>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</si>
  <si>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</si>
  <si>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</si>
  <si>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</si>
  <si>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</si>
  <si>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</si>
  <si>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</si>
  <si>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</si>
  <si>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</si>
  <si>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</si>
  <si>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</si>
  <si>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</si>
  <si>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</si>
  <si>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</si>
  <si>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</si>
  <si>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</si>
  <si>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</si>
  <si>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</si>
  <si>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</si>
  <si>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</si>
  <si>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</si>
  <si>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</si>
  <si>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</si>
  <si>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</si>
  <si>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</si>
  <si>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</si>
  <si>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</si>
  <si>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</si>
  <si>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</si>
  <si>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</si>
  <si>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</si>
  <si>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</si>
  <si>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</si>
  <si>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</si>
  <si>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</si>
  <si>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</si>
  <si>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</si>
  <si>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</si>
  <si>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</si>
  <si>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</si>
  <si>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</si>
  <si>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</si>
  <si>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</si>
  <si>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</si>
  <si>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</si>
  <si>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</si>
  <si>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</si>
  <si>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</si>
  <si>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</si>
  <si>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</si>
  <si>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</si>
  <si>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</si>
  <si>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</si>
  <si>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</si>
  <si>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</si>
  <si>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</si>
  <si>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</si>
  <si>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</si>
  <si>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</si>
  <si>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</si>
  <si>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</si>
  <si>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</si>
  <si>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</si>
  <si>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</si>
  <si>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</si>
  <si>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</si>
  <si>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</si>
  <si>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</si>
  <si>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</si>
  <si>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</si>
  <si>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</si>
  <si>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</si>
  <si>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</si>
  <si>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</si>
  <si>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</si>
  <si>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</si>
  <si>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</si>
  <si>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</si>
  <si>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</si>
  <si>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</si>
  <si>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</si>
  <si>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</si>
  <si>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</si>
  <si>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</si>
  <si>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</si>
  <si>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</si>
  <si>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</si>
  <si>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</si>
  <si>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</si>
  <si>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</si>
  <si>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</si>
  <si>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</si>
  <si>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</si>
  <si>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</si>
  <si>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</si>
  <si>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</si>
  <si>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</si>
  <si>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</si>
  <si>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</si>
  <si>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</si>
  <si>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</si>
  <si>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</si>
  <si>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</si>
  <si>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</si>
  <si>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</si>
  <si>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</si>
  <si>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</si>
  <si>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</si>
  <si>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</si>
  <si>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</si>
  <si>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</si>
  <si>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</si>
  <si>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</si>
  <si>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</si>
  <si>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</si>
  <si>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</si>
  <si>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</si>
  <si>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</si>
  <si>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</si>
  <si>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</si>
  <si>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</si>
  <si>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</si>
  <si>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</si>
  <si>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</si>
  <si>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</si>
  <si>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</si>
  <si>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</si>
  <si>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</si>
  <si>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</si>
  <si>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</si>
  <si>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</si>
  <si>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</si>
  <si>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</si>
  <si>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</si>
  <si>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</si>
  <si>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</si>
  <si>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</si>
  <si>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</si>
  <si>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</si>
  <si>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</si>
  <si>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</si>
  <si>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</si>
  <si>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</si>
  <si>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</si>
  <si>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</si>
  <si>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</si>
  <si>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</si>
  <si>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</si>
  <si>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</si>
  <si>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</si>
  <si>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</si>
  <si>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</si>
  <si>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</si>
  <si>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</si>
  <si>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</si>
  <si>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</si>
  <si>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</si>
  <si>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</si>
  <si>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</si>
  <si>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</si>
  <si>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</si>
  <si>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</si>
  <si>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</si>
  <si>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</si>
  <si>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</si>
  <si>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</si>
  <si>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</si>
  <si>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</si>
  <si>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</si>
  <si>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</si>
  <si>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</si>
  <si>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</si>
  <si>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</si>
  <si>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</si>
  <si>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</si>
  <si>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</si>
  <si>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</si>
  <si>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</si>
  <si>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</si>
  <si>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</si>
  <si>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</si>
  <si>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</si>
  <si>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</si>
  <si>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</si>
  <si>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</si>
  <si>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</si>
  <si>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</si>
  <si>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</si>
  <si>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</si>
  <si>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</si>
  <si>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</si>
  <si>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</si>
  <si>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</si>
  <si>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</si>
  <si>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</si>
  <si>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</si>
  <si>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</si>
  <si>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</si>
  <si>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</si>
  <si>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</si>
  <si>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</si>
  <si>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</si>
  <si>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</si>
  <si>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</si>
  <si>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</si>
  <si>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</si>
  <si>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</si>
  <si>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</si>
  <si>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</si>
  <si>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</si>
  <si>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</si>
  <si>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</si>
  <si>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</si>
  <si>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</si>
  <si>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</si>
  <si>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</si>
  <si>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</si>
  <si>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</si>
  <si>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</si>
  <si>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</si>
  <si>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</si>
  <si>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</si>
  <si>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</si>
  <si>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</si>
  <si>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</si>
  <si>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</si>
  <si>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</si>
  <si>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</si>
  <si>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</si>
  <si>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</si>
  <si>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</si>
  <si>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</si>
  <si>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</si>
  <si>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</si>
  <si>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</si>
  <si>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</si>
  <si>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</si>
  <si>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</si>
  <si>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</si>
  <si>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</si>
  <si>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</si>
  <si>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</si>
  <si>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</si>
  <si>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</si>
  <si>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</si>
  <si>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</si>
  <si>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</si>
  <si>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</si>
  <si>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</si>
  <si>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</si>
  <si>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</si>
  <si>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</si>
  <si>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</si>
  <si>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</si>
  <si>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</si>
  <si>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</si>
  <si>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</si>
  <si>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</si>
  <si>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</si>
  <si>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</si>
  <si>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</si>
  <si>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</si>
  <si>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</si>
  <si>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</si>
  <si>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</si>
  <si>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</si>
  <si>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</si>
  <si>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</si>
  <si>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</si>
  <si>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</si>
  <si>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</si>
  <si>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</si>
  <si>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</si>
  <si>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</si>
  <si>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</si>
  <si>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</si>
  <si>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</si>
  <si>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</si>
  <si>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</si>
  <si>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</si>
  <si>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90778</t>
  </si>
  <si>
    <t xml:space="preserve">Pavimentação </t>
  </si>
  <si>
    <t>Mês 1</t>
  </si>
  <si>
    <t>Mês 2</t>
  </si>
  <si>
    <t>Pavimentação em Paralelepípedos Eliseu Didonet</t>
  </si>
  <si>
    <t>101167</t>
  </si>
  <si>
    <t>94274</t>
  </si>
  <si>
    <t>Vitor Camargo Costa</t>
  </si>
  <si>
    <t>RS203284</t>
  </si>
  <si>
    <t>Pavimentação Eliseu Didonet</t>
  </si>
  <si>
    <t>Ivorá/RS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</si>
</sst>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0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CmCw7KEfzmtydy6VTBRk3m/cwgtlvGHoW99QjE2UdHOuLRttd5AO9kxCdecmO3SeJoMw16ZFY0xdy0IqRIUnEg==" saltValue="0P1pP6uhDGkKpZI2BnuA9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Gh8ZM+ZAn++MCWYiBfL+EICYpPwBgeCT/7JqwWYTD5y6WspwzpQYWLyGL4Xr3b+IJwjGM8Rc+xu85+XLZoTE2A==" saltValue="JSXnfth86vASUZDEKqpNxg==" spinCount="100000" sheet="1" objects="1" scenarios="1" autoFilter="0"/>
  <mergeCells count="4">
    <mergeCell ref="B20:H20"/>
    <mergeCell ref="B8:H8"/>
    <mergeCell ref="E2:G3"/>
    <mergeCell ref="B16:H16"/>
  </mergeCells>
  <phoneticPr fontId="38" type="noConversion"/>
  <conditionalFormatting sqref="C10:G14">
    <cfRule type="expression" dxfId="405" priority="70" stopIfTrue="1">
      <formula>TIPOORCAMENTO="Licitado"</formula>
    </cfRule>
  </conditionalFormatting>
  <conditionalFormatting sqref="C18:G18 E22:E24">
    <cfRule type="expression" dxfId="404" priority="71" stopIfTrue="1">
      <formula>TIPOORCAMENTO&lt;&gt;"Licitado"</formula>
    </cfRule>
  </conditionalFormatting>
  <conditionalFormatting sqref="C22">
    <cfRule type="expression" dxfId="403" priority="73" stopIfTrue="1">
      <formula>OR(TIPOORCAMENTO&lt;&gt;"Licitado",ACOMPANHAMENTO&lt;&gt;"PLE")</formula>
    </cfRule>
  </conditionalFormatting>
  <conditionalFormatting sqref="G22">
    <cfRule type="expression" dxfId="402" priority="74" stopIfTrue="1">
      <formula>OR(TIPOORCAMENTO&lt;&gt;"Licitado",ACOMPANHAMENTO&lt;&gt;"BM")</formula>
    </cfRule>
  </conditionalFormatting>
  <conditionalFormatting sqref="B16:H16 B20:H20">
    <cfRule type="expression" dxfId="401" priority="599" stopIfTrue="1">
      <formula>$O$3&lt;&gt;2</formula>
    </cfRule>
  </conditionalFormatting>
  <conditionalFormatting sqref="B8:H8">
    <cfRule type="expression" dxfId="40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B29" sqref="B29"/>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1017</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Falta preencher a linha 17</v>
      </c>
      <c r="L15" s="12" t="s">
        <v>112</v>
      </c>
      <c r="AV15" t="s">
        <v>221</v>
      </c>
      <c r="AW15" t="s">
        <v>222</v>
      </c>
    </row>
    <row r="16" spans="2:49" x14ac:dyDescent="0.2">
      <c r="B16" s="24" t="s">
        <v>223</v>
      </c>
      <c r="C16" s="25" t="s">
        <v>1016</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45839</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Falta preencher a linha 24</v>
      </c>
      <c r="L21" s="12"/>
      <c r="AV21" t="s">
        <v>238</v>
      </c>
      <c r="AW21" t="s">
        <v>239</v>
      </c>
    </row>
    <row r="22" spans="2:49" x14ac:dyDescent="0.2">
      <c r="B22" s="15" t="s">
        <v>240</v>
      </c>
      <c r="C22" s="31" t="s">
        <v>1014</v>
      </c>
      <c r="D22" s="563" t="str">
        <f t="shared" ref="D22:D24" ca="1" si="2">IF(OFFSET(D22,0,-1)="","◄","")</f>
        <v/>
      </c>
      <c r="AV22" t="s">
        <v>241</v>
      </c>
      <c r="AW22" t="s">
        <v>242</v>
      </c>
    </row>
    <row r="23" spans="2:49" x14ac:dyDescent="0.2">
      <c r="B23" s="17" t="s">
        <v>243</v>
      </c>
      <c r="C23" s="18" t="s">
        <v>1015</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45957</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Falta preencher a linha 28</v>
      </c>
      <c r="AV27" t="s">
        <v>256</v>
      </c>
      <c r="AW27" t="s">
        <v>257</v>
      </c>
    </row>
    <row r="28" spans="2:49" x14ac:dyDescent="0.2">
      <c r="B28" s="13" t="s">
        <v>240</v>
      </c>
      <c r="C28" s="33"/>
      <c r="D28" s="563" t="str">
        <f t="shared" ref="D28:D29" ca="1" si="3">IF(OFFSET(D28,0,-1)="","◄","")</f>
        <v>◄</v>
      </c>
      <c r="AV28" t="s">
        <v>258</v>
      </c>
      <c r="AW28" t="s">
        <v>259</v>
      </c>
    </row>
    <row r="29" spans="2:49" ht="13.5" thickBot="1" x14ac:dyDescent="0.25">
      <c r="B29" s="21" t="s">
        <v>260</v>
      </c>
      <c r="C29" s="34"/>
      <c r="D29" s="563" t="str">
        <f t="shared" ca="1" si="3"/>
        <v>◄</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Rk/GMhWK4a/oVWGcde77Q7/qGxgqBjP/PfYyM7WCJvkHk7LsnZ3j3I7kyI+dOLHeDWf+BmI9DKcy1imgsHOKBA==" saltValue="owEuxXrQrLua6RIc1D1Ro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99" priority="2" stopIfTrue="1">
      <formula>CAIXA.Modo=FALSE</formula>
    </cfRule>
  </conditionalFormatting>
  <conditionalFormatting sqref="B59:C61">
    <cfRule type="expression" dxfId="39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abSelected="1"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f>Import.CR</f>
        <v>0</v>
      </c>
      <c r="K5" s="680"/>
      <c r="L5" s="680">
        <f>Import.TransfereGOV</f>
        <v>0</v>
      </c>
      <c r="M5" s="680"/>
      <c r="N5" s="680">
        <f>Import.Proponente</f>
        <v>0</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 xml:space="preserve">Pavimentação Eliseu Didonet / </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0.3</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0.03</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IF(COUNTIF(ORÇAMENTO!$V$15:$V$22,BDI_1.Título)=0,"",IF(OR(Import.BDI.Tipo1="(SELECIONAR)",Import.BDI.Tipo1="",U17&lt;&gt;"",AND($J17&lt;&gt;$A$145,OR(S21="",S22="",AND($J17&lt;&gt;$A$146,OR(S23="",S24="")),S25="",S26=""))),"Falta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658</v>
      </c>
      <c r="K17" s="689"/>
      <c r="L17" s="689"/>
      <c r="M17" s="689"/>
      <c r="N17" s="689"/>
      <c r="O17" s="689"/>
      <c r="P17" s="689"/>
      <c r="Q17" s="689"/>
      <c r="R17" s="689"/>
      <c r="S17" s="689"/>
      <c r="T17" s="563" t="str">
        <f ca="1">IF(U17="","","◄")</f>
        <v/>
      </c>
      <c r="U17" s="562" t="str">
        <f ca="1">IF(AND(OR(S29&gt;0,COUNTIF(ORÇAMENTO!$V$15:$V$22,BDI_1.Título)&gt;0),OR(Import.BDI.Tipo1="(SELECIONAR)",Import.BDI.Tipo1="")),"Selecione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4.6699999999999998E-2</v>
      </c>
      <c r="T21" s="572" t="str">
        <f ca="1">IF(AND($U$14&lt;&gt;"",$U$17="",R21&lt;&gt;"",S21=""),"◄","")</f>
        <v/>
      </c>
      <c r="U21" s="694" t="str">
        <f ca="1">IFERROR(IF(T21="◄","FALTA PREENCHER",IF(AND(OR(S21&gt;=X21,X21="-"),OR(S21&lt;=Z21,Z21="-")),"OK","FORA DO INTERVALO")),"-")</f>
        <v>OK</v>
      </c>
      <c r="V21" s="694"/>
      <c r="W21" s="694"/>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7.4000000000000003E-3</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9.7000000000000003E-3</v>
      </c>
      <c r="T23" s="572" t="str">
        <f t="shared" ca="1" si="1"/>
        <v/>
      </c>
      <c r="U23" s="694" t="str">
        <f t="shared" ca="1" si="2"/>
        <v>OK</v>
      </c>
      <c r="V23" s="694"/>
      <c r="W23" s="694"/>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1.21E-2</v>
      </c>
      <c r="T24" s="572" t="str">
        <f t="shared" ca="1" si="1"/>
        <v/>
      </c>
      <c r="U24" s="694" t="str">
        <f t="shared" ca="1" si="2"/>
        <v>OK</v>
      </c>
      <c r="V24" s="694"/>
      <c r="W24" s="694"/>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8.6900000000000005E-2</v>
      </c>
      <c r="T25" s="572" t="str">
        <f t="shared" ca="1" si="1"/>
        <v/>
      </c>
      <c r="U25" s="694" t="str">
        <f t="shared" ca="1" si="2"/>
        <v>OK</v>
      </c>
      <c r="V25" s="694"/>
      <c r="W25" s="694"/>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8.9999999999999993E-3</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0.22600000000000001</v>
      </c>
      <c r="U29" s="690" t="str">
        <f ca="1">IFERROR(IF(AND(OR(S29&gt;=X29,X29="-"),OR(S29&lt;=Z29,Z29="-")),"OK","FORA DO INTERVALO"),IF(S29=0,"OK","Selecione o Tipo de obra"))</f>
        <v>OK</v>
      </c>
      <c r="V29" s="690"/>
      <c r="W29" s="69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0.22600000000000001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Ivorá/RS</v>
      </c>
      <c r="K45" s="702"/>
      <c r="L45" s="702"/>
      <c r="M45" s="702"/>
      <c r="P45" s="703">
        <f>DADOS!$C$25</f>
        <v>45957</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Vitor Camargo Costa</v>
      </c>
      <c r="L50" s="79"/>
      <c r="M50" s="79"/>
      <c r="N50" s="76"/>
    </row>
    <row r="51" spans="1:26" ht="14.25" x14ac:dyDescent="0.2">
      <c r="A51"/>
      <c r="B51"/>
      <c r="C51"/>
      <c r="D51"/>
      <c r="E51"/>
      <c r="F51"/>
      <c r="G51"/>
      <c r="I51" t="s">
        <v>536</v>
      </c>
      <c r="J51" s="77" t="s">
        <v>243</v>
      </c>
      <c r="K51" s="78" t="str">
        <v>RS203284</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692" t="s">
        <v>697</v>
      </c>
      <c r="K54" s="692"/>
      <c r="L54" s="692"/>
      <c r="M54" s="692"/>
      <c r="N54" s="692"/>
      <c r="O54" s="692"/>
      <c r="P54" s="692"/>
      <c r="Q54" s="692"/>
      <c r="R54" s="692"/>
      <c r="S54" s="692"/>
      <c r="U54" s="521" t="str">
        <f>IF(COUNTIF(ORÇAMENTO!$V$15:$V$22,BDI_2.Título)=0,"",IF(OR(Import.BDI.Tipo2="(SELECIONAR)",Import.BDI.Tipo2="",U57&lt;&gt;"",AND($J57&lt;&gt;$A$145,OR(S61="",S62="",AND($J57&lt;&gt;$A$146,OR(S63="",S64="")),S65="",S66=""))),"Falta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683" t="s">
        <v>664</v>
      </c>
      <c r="K56" s="683"/>
      <c r="L56" s="683"/>
      <c r="M56" s="683"/>
      <c r="N56" s="683"/>
      <c r="O56" s="683"/>
      <c r="P56" s="683"/>
      <c r="Q56" s="683"/>
      <c r="R56" s="683"/>
      <c r="S56" s="683"/>
    </row>
    <row r="57" spans="1:26" ht="15" x14ac:dyDescent="0.25">
      <c r="A57"/>
      <c r="B57"/>
      <c r="C57"/>
      <c r="D57"/>
      <c r="E57"/>
      <c r="F57"/>
      <c r="G57"/>
      <c r="I57" t="str">
        <f t="shared" ca="1" si="3"/>
        <v>F</v>
      </c>
      <c r="J57" s="689" t="s">
        <v>665</v>
      </c>
      <c r="K57" s="689"/>
      <c r="L57" s="689"/>
      <c r="M57" s="689"/>
      <c r="N57" s="689"/>
      <c r="O57" s="689"/>
      <c r="P57" s="689"/>
      <c r="Q57" s="689"/>
      <c r="R57" s="689"/>
      <c r="S57" s="689"/>
      <c r="T57" s="563" t="str">
        <f ca="1">IF(U57="","","◄")</f>
        <v/>
      </c>
      <c r="U57" s="562" t="str">
        <f ca="1">IF(AND(OR(S69&gt;0,COUNTIF(ORÇAMENTO!$V$15:$V$22,BDI_2.Título)&gt;0),OR(Import.BDI.Tipo2="(SELECIONAR)",Import.BDI.Tipo2="")),"Selecione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F</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F</v>
      </c>
      <c r="J61" s="693" t="str">
        <f>IF($J$57=$A$146,"Encargos Sociais incidentes sobre a mão de obra","Administração Central")</f>
        <v>Administração Central</v>
      </c>
      <c r="K61" s="693"/>
      <c r="L61" s="693"/>
      <c r="M61" s="693"/>
      <c r="N61" s="693"/>
      <c r="O61" s="693"/>
      <c r="P61" s="693"/>
      <c r="Q61" s="693"/>
      <c r="R61" s="60" t="str">
        <f>IF($J57=$A$146,"K1","AC")</f>
        <v>AC</v>
      </c>
      <c r="S61" s="61">
        <v>3.4500000000000003E-2</v>
      </c>
      <c r="T61" s="572" t="str">
        <f ca="1">IF(AND($U$54&lt;&gt;"",$U$57="",R61&lt;&gt;"",S61=""),"◄","")</f>
        <v/>
      </c>
      <c r="U61" s="694" t="str">
        <f ca="1">IFERROR(IF(T61="◄","FALTA PREENCHER",IF(AND(OR(S61&gt;=X61,X61="-"),OR(S61&lt;=Z61,Z61="-")),"OK","FORA DO INTERVALO")),"-")</f>
        <v>OK</v>
      </c>
      <c r="V61" s="694"/>
      <c r="W61" s="694"/>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93" t="str">
        <f>IF($J$57=$A$146,"Administração Central da empresa ou consultoria - overhead","Seguro e Garantia")</f>
        <v>Seguro e Garantia</v>
      </c>
      <c r="K62" s="693"/>
      <c r="L62" s="693"/>
      <c r="M62" s="693"/>
      <c r="N62" s="693"/>
      <c r="O62" s="693"/>
      <c r="P62" s="693"/>
      <c r="Q62" s="693"/>
      <c r="R62" s="60" t="str">
        <f>IF($J57=$A$146,"K2","SG")</f>
        <v>SG</v>
      </c>
      <c r="S62" s="61">
        <v>4.7999999999999996E-3</v>
      </c>
      <c r="T62" s="572" t="str">
        <f t="shared" ref="T62:T66" ca="1" si="4">IF(AND($U$54&lt;&gt;"",$U$57="",R62&lt;&gt;"",S62=""),"◄","")</f>
        <v/>
      </c>
      <c r="U62" s="694" t="str">
        <f t="shared" ref="U62:U68" ca="1" si="5">IFERROR(IF(T62="◄","FALTA PREENCHER",IF(AND(OR(S62&gt;=X62,X62="-"),OR(S62&lt;=Z62,Z62="-")),"OK","FORA DO INTERVALO")),"-")</f>
        <v>OK</v>
      </c>
      <c r="V62" s="694"/>
      <c r="W62" s="694"/>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93" t="s">
        <v>942</v>
      </c>
      <c r="K63" s="693"/>
      <c r="L63" s="693"/>
      <c r="M63" s="693"/>
      <c r="N63" s="693"/>
      <c r="O63" s="693"/>
      <c r="P63" s="693"/>
      <c r="Q63" s="693"/>
      <c r="R63" s="60" t="str">
        <f>IF($J57=$A$146,"","R")</f>
        <v>R</v>
      </c>
      <c r="S63" s="61">
        <v>8.5000000000000006E-3</v>
      </c>
      <c r="T63" s="572" t="str">
        <f t="shared" ca="1" si="4"/>
        <v/>
      </c>
      <c r="U63" s="694" t="str">
        <f t="shared" ca="1" si="5"/>
        <v>OK</v>
      </c>
      <c r="V63" s="694"/>
      <c r="W63" s="694"/>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93" t="s">
        <v>943</v>
      </c>
      <c r="K64" s="693"/>
      <c r="L64" s="693"/>
      <c r="M64" s="693"/>
      <c r="N64" s="693"/>
      <c r="O64" s="693"/>
      <c r="P64" s="693"/>
      <c r="Q64" s="693"/>
      <c r="R64" s="60" t="str">
        <f>IF($J57=$A$146,"","DF")</f>
        <v>DF</v>
      </c>
      <c r="S64" s="61">
        <v>8.5000000000000006E-3</v>
      </c>
      <c r="T64" s="572" t="str">
        <f t="shared" ca="1" si="4"/>
        <v/>
      </c>
      <c r="U64" s="694" t="str">
        <f t="shared" ca="1" si="5"/>
        <v>OK</v>
      </c>
      <c r="V64" s="694"/>
      <c r="W64" s="694"/>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93" t="str">
        <f>IF($J$57=$A$146,"Margem bruta da empresa de consultoria","Lucro")</f>
        <v>Lucro</v>
      </c>
      <c r="K65" s="693"/>
      <c r="L65" s="693"/>
      <c r="M65" s="693"/>
      <c r="N65" s="693"/>
      <c r="O65" s="693"/>
      <c r="P65" s="693"/>
      <c r="Q65" s="693"/>
      <c r="R65" s="60" t="str">
        <f>IF($J57=$A$146,"K3","L")</f>
        <v>L</v>
      </c>
      <c r="S65" s="61">
        <v>3.8800000000000001E-2</v>
      </c>
      <c r="T65" s="572" t="str">
        <f t="shared" ca="1" si="4"/>
        <v/>
      </c>
      <c r="U65" s="694" t="str">
        <f t="shared" ca="1" si="5"/>
        <v>OK</v>
      </c>
      <c r="V65" s="694"/>
      <c r="W65" s="694"/>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93" t="s">
        <v>675</v>
      </c>
      <c r="K66" s="693"/>
      <c r="L66" s="693"/>
      <c r="M66" s="693"/>
      <c r="N66" s="693"/>
      <c r="O66" s="693"/>
      <c r="P66" s="693"/>
      <c r="Q66" s="693"/>
      <c r="R66" s="60" t="s">
        <v>456</v>
      </c>
      <c r="S66" s="61">
        <v>3.6499999999999998E-2</v>
      </c>
      <c r="T66" s="572" t="str">
        <f t="shared" ca="1" si="4"/>
        <v/>
      </c>
      <c r="U66" s="694" t="str">
        <f t="shared" ca="1" si="5"/>
        <v>OK</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93" t="s">
        <v>676</v>
      </c>
      <c r="K67" s="693"/>
      <c r="L67" s="693"/>
      <c r="M67" s="693"/>
      <c r="N67" s="693"/>
      <c r="O67" s="693"/>
      <c r="P67" s="693"/>
      <c r="Q67" s="693"/>
      <c r="R67" s="60" t="s">
        <v>677</v>
      </c>
      <c r="S67" s="62">
        <f ca="1">IF(AND($J57&lt;&gt;$A$145,COUNTA(OFFSET(S60,1,0,6))&gt;0),$R$11*$R$10,0)</f>
        <v>8.9999999999999993E-3</v>
      </c>
      <c r="U67" s="694" t="str">
        <f t="shared" ca="1" si="5"/>
        <v>OK</v>
      </c>
      <c r="V67" s="694"/>
      <c r="W67" s="694"/>
      <c r="X67" s="62">
        <v>0</v>
      </c>
      <c r="Y67" s="62">
        <v>2.5000000000000001E-2</v>
      </c>
      <c r="Z67" s="62">
        <v>0.05</v>
      </c>
    </row>
    <row r="68" spans="1:26" ht="15" customHeight="1" x14ac:dyDescent="0.2">
      <c r="A68"/>
      <c r="B68"/>
      <c r="C68"/>
      <c r="D68"/>
      <c r="E68"/>
      <c r="F68"/>
      <c r="G68"/>
      <c r="I68" t="str">
        <f t="shared" ca="1" si="3"/>
        <v>F</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customHeight="1" x14ac:dyDescent="0.2">
      <c r="A69"/>
      <c r="B69"/>
      <c r="C69"/>
      <c r="D69"/>
      <c r="E69"/>
      <c r="F69"/>
      <c r="G69"/>
      <c r="I69" t="str">
        <f t="shared" ca="1" si="3"/>
        <v>F</v>
      </c>
      <c r="J69" s="693" t="s">
        <v>680</v>
      </c>
      <c r="K69" s="693"/>
      <c r="L69" s="693"/>
      <c r="M69" s="693"/>
      <c r="N69" s="693"/>
      <c r="O69" s="693"/>
      <c r="P69" s="693"/>
      <c r="Q69" s="693"/>
      <c r="R69" s="64" t="s">
        <v>656</v>
      </c>
      <c r="S69" s="62">
        <f ca="1">IF($J57=$A$145,0,ROUND((((1+S61+S62+S63)*(1+S64)*(1+S65)/(1-(S66+S67)))-1),4))</f>
        <v>0.15</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7" t="s">
        <v>681</v>
      </c>
      <c r="K70" s="697"/>
      <c r="L70" s="697"/>
      <c r="M70" s="697"/>
      <c r="N70" s="697"/>
      <c r="O70" s="697"/>
      <c r="P70" s="697"/>
      <c r="Q70" s="697"/>
      <c r="R70" s="65" t="s">
        <v>682</v>
      </c>
      <c r="S70" s="66">
        <f ca="1">IF($J57=$A$145,0,ROUND((((1+S61+S62+S63)*(1+S64)*(1+S65)/(1-(S66+S67+S68)))-1),4))</f>
        <v>0.15</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F</v>
      </c>
    </row>
    <row r="74" spans="1:26" x14ac:dyDescent="0.2">
      <c r="A74"/>
      <c r="B74"/>
      <c r="C74"/>
      <c r="D74"/>
      <c r="E74"/>
      <c r="F74"/>
      <c r="G74"/>
      <c r="I74" t="str">
        <f t="shared" ca="1" si="3"/>
        <v>F</v>
      </c>
      <c r="J74" s="699" t="s">
        <v>683</v>
      </c>
      <c r="K74" s="699"/>
      <c r="L74" s="699"/>
      <c r="M74" s="699"/>
      <c r="N74" s="699"/>
      <c r="O74" s="699"/>
      <c r="P74" s="699"/>
      <c r="Q74" s="699"/>
      <c r="R74" s="699"/>
      <c r="S74" s="699"/>
    </row>
    <row r="75" spans="1:26" ht="15.75" x14ac:dyDescent="0.25">
      <c r="A75"/>
      <c r="B75"/>
      <c r="C75"/>
      <c r="D75"/>
      <c r="E75"/>
      <c r="F75"/>
      <c r="G75"/>
      <c r="I75" t="str">
        <f t="shared" ca="1" si="3"/>
        <v>F</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F</v>
      </c>
      <c r="J76" s="68"/>
      <c r="K76" s="68"/>
      <c r="L76" s="68"/>
      <c r="M76" s="700"/>
      <c r="N76" s="695" t="s">
        <v>686</v>
      </c>
      <c r="O76" s="695"/>
      <c r="P76" s="695"/>
      <c r="Q76" s="707"/>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78" s="696"/>
      <c r="L78" s="696"/>
      <c r="M78" s="696"/>
      <c r="N78" s="696"/>
      <c r="O78" s="696"/>
      <c r="P78" s="696"/>
      <c r="Q78" s="696"/>
      <c r="R78" s="696"/>
      <c r="S78" s="696"/>
    </row>
    <row r="79" spans="1:26" x14ac:dyDescent="0.2">
      <c r="A79"/>
      <c r="B79"/>
      <c r="C79"/>
      <c r="D79"/>
      <c r="E79"/>
      <c r="F79"/>
      <c r="G79"/>
      <c r="I79" t="str">
        <f t="shared" ca="1" si="3"/>
        <v>F</v>
      </c>
    </row>
    <row r="80" spans="1:26" ht="50.1" customHeight="1" x14ac:dyDescent="0.2">
      <c r="A80"/>
      <c r="B80"/>
      <c r="C80"/>
      <c r="D80"/>
      <c r="E80"/>
      <c r="F80"/>
      <c r="G80"/>
      <c r="I80" t="str">
        <f t="shared" ca="1" si="3"/>
        <v>F</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08"/>
      <c r="K83" s="708"/>
      <c r="L83" s="708"/>
      <c r="M83" s="708"/>
      <c r="N83" s="708"/>
      <c r="O83" s="708"/>
      <c r="P83" s="708"/>
      <c r="Q83" s="708"/>
      <c r="R83" s="708"/>
      <c r="S83" s="708"/>
    </row>
    <row r="84" spans="1:21" x14ac:dyDescent="0.2">
      <c r="A84"/>
      <c r="B84"/>
      <c r="C84"/>
      <c r="D84"/>
      <c r="E84"/>
      <c r="F84"/>
      <c r="G84"/>
      <c r="I84" t="str">
        <f t="shared" ca="1" si="3"/>
        <v>F</v>
      </c>
    </row>
    <row r="85" spans="1:21" x14ac:dyDescent="0.2">
      <c r="A85"/>
      <c r="B85"/>
      <c r="C85"/>
      <c r="D85"/>
      <c r="E85"/>
      <c r="F85"/>
      <c r="G85"/>
      <c r="I85" t="str">
        <f t="shared" ca="1" si="3"/>
        <v>F</v>
      </c>
      <c r="J85" s="702" t="str">
        <f>Import.Município</f>
        <v>Ivorá/RS</v>
      </c>
      <c r="K85" s="702"/>
      <c r="L85" s="702"/>
      <c r="M85" s="702"/>
      <c r="P85" s="703">
        <f>DADOS!$C$25</f>
        <v>45957</v>
      </c>
      <c r="Q85" s="703"/>
      <c r="R85" s="703"/>
      <c r="S85" s="703"/>
    </row>
    <row r="86" spans="1:21" x14ac:dyDescent="0.2">
      <c r="A86"/>
      <c r="B86"/>
      <c r="C86"/>
      <c r="D86"/>
      <c r="E86"/>
      <c r="F86"/>
      <c r="G86"/>
      <c r="I86" t="str">
        <f t="shared" ca="1" si="3"/>
        <v>F</v>
      </c>
      <c r="J86" s="704" t="s">
        <v>693</v>
      </c>
      <c r="K86" s="704"/>
      <c r="L86" s="704"/>
      <c r="M86" s="704"/>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05"/>
      <c r="K88" s="705"/>
      <c r="L88" s="705"/>
      <c r="M88" s="705"/>
      <c r="N88" s="76"/>
    </row>
    <row r="89" spans="1:21" x14ac:dyDescent="0.2">
      <c r="A89"/>
      <c r="B89"/>
      <c r="C89"/>
      <c r="D89"/>
      <c r="E89"/>
      <c r="F89"/>
      <c r="G89"/>
      <c r="I89" t="str">
        <f t="shared" ca="1" si="3"/>
        <v>F</v>
      </c>
      <c r="J89" s="701" t="s">
        <v>696</v>
      </c>
      <c r="K89" s="701"/>
      <c r="L89" s="701"/>
      <c r="M89" s="701"/>
    </row>
    <row r="90" spans="1:21" ht="14.25" x14ac:dyDescent="0.2">
      <c r="A90"/>
      <c r="B90"/>
      <c r="C90"/>
      <c r="D90"/>
      <c r="E90"/>
      <c r="F90"/>
      <c r="G90"/>
      <c r="I90" t="str">
        <f t="shared" ca="1" si="3"/>
        <v>F</v>
      </c>
      <c r="J90" s="77" t="s">
        <v>240</v>
      </c>
      <c r="K90" s="78" t="str">
        <f t="array" ref="K90:K92">Import.RespOrçamento</f>
        <v>Vitor Camargo Costa</v>
      </c>
      <c r="L90" s="79"/>
      <c r="M90" s="79"/>
      <c r="N90" s="76"/>
    </row>
    <row r="91" spans="1:21" ht="14.25" x14ac:dyDescent="0.2">
      <c r="A91"/>
      <c r="B91"/>
      <c r="C91"/>
      <c r="D91"/>
      <c r="E91"/>
      <c r="F91"/>
      <c r="G91"/>
      <c r="I91" t="str">
        <f t="shared" ca="1" si="3"/>
        <v>F</v>
      </c>
      <c r="J91" s="77" t="s">
        <v>243</v>
      </c>
      <c r="K91" s="78" t="str">
        <v>RS203284</v>
      </c>
      <c r="L91" s="79"/>
      <c r="M91" s="79"/>
      <c r="N91" s="76"/>
    </row>
    <row r="92" spans="1:21" ht="14.25" x14ac:dyDescent="0.2">
      <c r="A92"/>
      <c r="B92"/>
      <c r="C92"/>
      <c r="D92"/>
      <c r="E92"/>
      <c r="F92"/>
      <c r="G92"/>
      <c r="I92" t="str">
        <f t="shared" ca="1" si="3"/>
        <v>F</v>
      </c>
      <c r="J92" s="77" t="s">
        <v>246</v>
      </c>
      <c r="K92" s="78">
        <v>0</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 ca="1">IF($S$109=0,"","F")</f>
        <v/>
      </c>
      <c r="J94" s="692" t="s">
        <v>698</v>
      </c>
      <c r="K94" s="692"/>
      <c r="L94" s="692"/>
      <c r="M94" s="692"/>
      <c r="N94" s="692"/>
      <c r="O94" s="692"/>
      <c r="P94" s="692"/>
      <c r="Q94" s="692"/>
      <c r="R94" s="692"/>
      <c r="S94" s="692"/>
      <c r="U94" s="521" t="str">
        <f>IF(COUNTIF(ORÇAMENTO!$V$15:$V$22,BDI_3.Título)=0,"",IF(OR(Import.BDI.Tipo3="(SELECIONAR)",Import.BDI.Tipo3="",U97&lt;&gt;"",AND($J97&lt;&gt;$A$145,OR(S101="",S102="",AND($J97&lt;&gt;$A$146,OR(S103="",S104="")),S105="",S106=""))),"Falta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3" t="s">
        <v>664</v>
      </c>
      <c r="K96" s="683"/>
      <c r="L96" s="683"/>
      <c r="M96" s="683"/>
      <c r="N96" s="683"/>
      <c r="O96" s="683"/>
      <c r="P96" s="683"/>
      <c r="Q96" s="683"/>
      <c r="R96" s="683"/>
      <c r="S96" s="683"/>
    </row>
    <row r="97" spans="1:26" ht="15"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IF(AND(OR(S109&gt;0,COUNTIF(ORÇAMENTO!$V$15:$V$22,BDI_3.Título)&gt;0),OR(Import.BDI.Tipo3="(SELECIONAR)",Import.BDI.Tipo3="")),"Selecione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x14ac:dyDescent="0.2">
      <c r="A113"/>
      <c r="B113"/>
      <c r="C113"/>
      <c r="D113"/>
      <c r="E113"/>
      <c r="F113"/>
      <c r="G113"/>
      <c r="I113" t="str">
        <f t="shared" ca="1" si="6"/>
        <v/>
      </c>
    </row>
    <row r="114" spans="1:19" x14ac:dyDescent="0.2">
      <c r="A114"/>
      <c r="B114"/>
      <c r="C114"/>
      <c r="D114"/>
      <c r="E114"/>
      <c r="F114"/>
      <c r="G114"/>
      <c r="I114" t="str">
        <f t="shared" ca="1" si="6"/>
        <v/>
      </c>
      <c r="J114" s="699" t="s">
        <v>683</v>
      </c>
      <c r="K114" s="699"/>
      <c r="L114" s="699"/>
      <c r="M114" s="699"/>
      <c r="N114" s="699"/>
      <c r="O114" s="699"/>
      <c r="P114" s="699"/>
      <c r="Q114" s="699"/>
      <c r="R114" s="699"/>
      <c r="S114" s="699"/>
    </row>
    <row r="115" spans="1:19" ht="15.75"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x14ac:dyDescent="0.2">
      <c r="A116"/>
      <c r="B116"/>
      <c r="C116"/>
      <c r="D116"/>
      <c r="E116"/>
      <c r="F116"/>
      <c r="G116"/>
      <c r="I116" t="str">
        <f t="shared" ca="1" si="6"/>
        <v/>
      </c>
      <c r="J116" s="68"/>
      <c r="K116" s="68"/>
      <c r="L116" s="68"/>
      <c r="M116" s="700"/>
      <c r="N116" s="695" t="s">
        <v>686</v>
      </c>
      <c r="O116" s="695"/>
      <c r="P116" s="695"/>
      <c r="Q116" s="70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118" s="696"/>
      <c r="L118" s="696"/>
      <c r="M118" s="696"/>
      <c r="N118" s="696"/>
      <c r="O118" s="696"/>
      <c r="P118" s="696"/>
      <c r="Q118" s="696"/>
      <c r="R118" s="696"/>
      <c r="S118" s="696"/>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2" t="str">
        <f>Import.Município</f>
        <v>Ivorá/RS</v>
      </c>
      <c r="K125" s="702"/>
      <c r="L125" s="702"/>
      <c r="M125" s="702"/>
      <c r="P125" s="703">
        <f>DADOS!$C$25</f>
        <v>45957</v>
      </c>
      <c r="Q125" s="703"/>
      <c r="R125" s="703"/>
      <c r="S125" s="703"/>
    </row>
    <row r="126" spans="1:19" x14ac:dyDescent="0.2">
      <c r="A126"/>
      <c r="B126"/>
      <c r="C126"/>
      <c r="D126"/>
      <c r="E126"/>
      <c r="F126"/>
      <c r="G126"/>
      <c r="I126" t="str">
        <f t="shared" ca="1" si="6"/>
        <v/>
      </c>
      <c r="J126" s="704" t="s">
        <v>693</v>
      </c>
      <c r="K126" s="704"/>
      <c r="L126" s="704"/>
      <c r="M126" s="704"/>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5"/>
      <c r="K128" s="705"/>
      <c r="L128" s="705"/>
      <c r="M128" s="705"/>
      <c r="N128" s="76"/>
    </row>
    <row r="129" spans="1:14" x14ac:dyDescent="0.2">
      <c r="A129"/>
      <c r="B129"/>
      <c r="C129"/>
      <c r="D129"/>
      <c r="E129"/>
      <c r="F129"/>
      <c r="G129"/>
      <c r="I129" t="str">
        <f t="shared" ca="1" si="6"/>
        <v/>
      </c>
      <c r="J129" s="701" t="s">
        <v>696</v>
      </c>
      <c r="K129" s="701"/>
      <c r="L129" s="701"/>
      <c r="M129" s="701"/>
    </row>
    <row r="130" spans="1:14" ht="14.25" x14ac:dyDescent="0.2">
      <c r="A130"/>
      <c r="B130"/>
      <c r="C130"/>
      <c r="D130"/>
      <c r="E130"/>
      <c r="F130"/>
      <c r="G130"/>
      <c r="I130" t="str">
        <f t="shared" ca="1" si="6"/>
        <v/>
      </c>
      <c r="J130" s="77" t="s">
        <v>240</v>
      </c>
      <c r="K130" s="78" t="str">
        <f t="array" ref="K130:K132">Import.RespOrçamento</f>
        <v>Vitor Camargo Costa</v>
      </c>
      <c r="L130" s="79"/>
      <c r="M130" s="79"/>
      <c r="N130" s="76"/>
    </row>
    <row r="131" spans="1:14" ht="14.25" x14ac:dyDescent="0.2">
      <c r="A131"/>
      <c r="B131"/>
      <c r="C131"/>
      <c r="D131"/>
      <c r="E131"/>
      <c r="F131"/>
      <c r="G131"/>
      <c r="I131" t="str">
        <f t="shared" ca="1" si="6"/>
        <v/>
      </c>
      <c r="J131" s="77" t="s">
        <v>243</v>
      </c>
      <c r="K131" s="78" t="str">
        <v>RS203284</v>
      </c>
      <c r="L131" s="79"/>
      <c r="M131" s="79"/>
      <c r="N131" s="76"/>
    </row>
    <row r="132" spans="1:14" ht="14.25"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Fpx2xw4+7lxxZ0ANOZqqbTvx0HwbK+el6FzD4xL/Kpb2faYAr56i6RRC8GvRQh9UqUwaS1hzJWNkmgxtFQEfrg==" saltValue="NYq28N23mYrF3EtHVfYXQA=="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97" priority="11" stopIfTrue="1">
      <formula>DESONERACAO="não"</formula>
    </cfRule>
  </conditionalFormatting>
  <conditionalFormatting sqref="U69:W69 U29:W29 U109:W109">
    <cfRule type="expression" dxfId="396" priority="12" stopIfTrue="1">
      <formula>AND(U29&lt;&gt;"OK",U29&lt;&gt;"-",U29&lt;&gt;"")</formula>
    </cfRule>
    <cfRule type="cellIs" dxfId="395" priority="13" stopIfTrue="1" operator="equal">
      <formula>"OK"</formula>
    </cfRule>
  </conditionalFormatting>
  <conditionalFormatting sqref="S29 S69 S109">
    <cfRule type="expression" dxfId="394" priority="14" stopIfTrue="1">
      <formula>DESONERACAO="não"</formula>
    </cfRule>
  </conditionalFormatting>
  <conditionalFormatting sqref="J23:S24">
    <cfRule type="expression" dxfId="393" priority="9">
      <formula>$J$17=$A$146</formula>
    </cfRule>
  </conditionalFormatting>
  <conditionalFormatting sqref="S21:S26">
    <cfRule type="expression" dxfId="392" priority="8">
      <formula>$J$17=$A$145</formula>
    </cfRule>
  </conditionalFormatting>
  <conditionalFormatting sqref="J63:S64">
    <cfRule type="expression" dxfId="391" priority="7">
      <formula>$J$57=$A$146</formula>
    </cfRule>
  </conditionalFormatting>
  <conditionalFormatting sqref="S61:S66">
    <cfRule type="expression" dxfId="390" priority="6">
      <formula>$J$57=$A$145</formula>
    </cfRule>
  </conditionalFormatting>
  <conditionalFormatting sqref="J103:S104">
    <cfRule type="expression" dxfId="389" priority="5">
      <formula>$J$97=$A$146</formula>
    </cfRule>
  </conditionalFormatting>
  <conditionalFormatting sqref="S101:S106">
    <cfRule type="expression" dxfId="388" priority="4">
      <formula>$J$97=$A$145</formula>
    </cfRule>
  </conditionalFormatting>
  <conditionalFormatting sqref="U21:W28">
    <cfRule type="cellIs" dxfId="387" priority="3" operator="notEqual">
      <formula>"OK"</formula>
    </cfRule>
  </conditionalFormatting>
  <conditionalFormatting sqref="U61:W68">
    <cfRule type="cellIs" dxfId="386" priority="2" operator="notEqual">
      <formula>"OK"</formula>
    </cfRule>
  </conditionalFormatting>
  <conditionalFormatting sqref="U101:W108">
    <cfRule type="cellIs" dxfId="38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52"/>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activeCell="O38" sqref="O38:Q38"/>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MAX($C$15:$C$22)</f>
        <v>2</v>
      </c>
      <c r="B5" s="7"/>
      <c r="C5" s="7"/>
      <c r="D5" s="7"/>
      <c r="E5" s="7"/>
      <c r="F5" s="663">
        <f ca="1">IF(BDI.Opcao="DESONERADO",BDI!$S$30,BDI!$S$29)</f>
        <v>0.22600000000000001</v>
      </c>
      <c r="G5" s="663">
        <f ca="1">IF(BDI.Opcao="DESONERADO",BDI!$S$70,BDI!$S$69)</f>
        <v>0.15</v>
      </c>
      <c r="H5" s="663">
        <f ca="1">IF(BDI.Opcao="DESONERADO",BDI!$S$110,BDI!$S$109)</f>
        <v>0</v>
      </c>
      <c r="I5" s="7"/>
      <c r="O5" s="680">
        <f>Import.CR</f>
        <v>0</v>
      </c>
      <c r="P5" s="680"/>
      <c r="Q5" s="90" cm="1">
        <f t="array" ref="Q5">Import.TransfereGOV</f>
        <v>0</v>
      </c>
      <c r="R5" s="91">
        <f>Import.Proponente</f>
        <v>0</v>
      </c>
      <c r="S5" s="680" t="str">
        <f>Import.Apelido</f>
        <v>Pavimentação Eliseu Didonet</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IF(COUNTIFS($L$15:$L$22,"F",$AC$15:$AC$22,"JUSTIFICAR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07-2025.xlsm]Banco'!$a5:$a$65536</v>
      </c>
      <c r="G8" s="718"/>
      <c r="H8" s="718"/>
      <c r="I8" s="718"/>
      <c r="J8" s="718"/>
      <c r="K8" s="718"/>
      <c r="L8" s="709" t="s">
        <v>655</v>
      </c>
      <c r="O8" s="680" t="str" cm="1">
        <f t="array" aca="1" ref="O8" ca="1">IF(ISERROR(INDIRECT($F$9)),"(N/D: 'Referência "&amp;Excel_BuiltIn_Database&amp;".xlsm)",INDIRECT($F$9))</f>
        <v>PORTO ALEGRE</v>
      </c>
      <c r="P8" s="680"/>
      <c r="Q8" s="99" t="str" cm="1">
        <f t="array" aca="1" ref="Q8" ca="1">TEXT(Import.DataBase,"mm-aa")&amp;IF(DESONERACAO="Sim"," (DES.)"," (N DES.)")</f>
        <v>07-25 (N DES.)</v>
      </c>
      <c r="R8" s="91" cm="1">
        <f t="array" ref="R8">IF(TIPOORCAMENTO="Licitado",Import.empresa,Import.DescLote)</f>
        <v>0</v>
      </c>
      <c r="S8" s="719" t="str" cm="1">
        <f t="array" ref="S8">IF(TIPOORCAMENTO="Licitado",Import.RegimeExecução,Import.Município)</f>
        <v>Ivorá/RS</v>
      </c>
      <c r="T8" s="719"/>
      <c r="U8" s="719"/>
      <c r="V8" s="100" t="str" cm="1">
        <f t="array" aca="1" ref="V8" ca="1">IF(TIPOORCAMENTO="Licitado","",TEXT(F5,"0,00%"))</f>
        <v>22,60%</v>
      </c>
      <c r="W8" s="100" t="str" cm="1">
        <f t="array" aca="1" ref="W8" ca="1">IF(TIPOORCAMENTO="Licitado","",TEXT(G5,"0,00%"))</f>
        <v>15,00%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07-2025.xlsm]Banco'!$d$3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07-2025.xlsm]Banco'!$B$3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07/2025</v>
      </c>
      <c r="G11" s="665" t="str" cm="1">
        <f t="array" aca="1" ref="G11" ca="1">IFERROR(TEXT(Import.DataBase,"mm/aaaa"),"")</f>
        <v>07/2025</v>
      </c>
      <c r="H11" s="104"/>
      <c r="L11" s="709"/>
      <c r="Y11" s="709"/>
      <c r="Z11" s="709"/>
      <c r="AC11" s="105" t="str">
        <f ca="1">IF(COUNTIFS($L$15:$L$22,"F",$AC$15:$AC$22,"&lt;&gt;"&amp;" ",$AC$15:$AC$22,"&lt;&gt;"&amp;"JUSTIFICAR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IF(COUNTIF($AC$15:$AC$22,"FONTE")&gt;0,"Falta preencher a Fonte (coluna P) na Linha "&amp;(14+MATCH("FONTE",$AC$15:$AC$22,0)),
 IF(COUNTIF($AC$15:$AC$22,"CÓDIGO")&gt;0,"Falta preencher o Código (coluna Q) na Linha "&amp;(14+MATCH("CÓDIGO",$AC$15:$AC$22,0)),
 IF(COUNTIF($AC$15:$AC$22,"CÓDIGO N/ID")&gt;0,"Código (coluna Q) não identificado na Linha "&amp;(14+MATCH("CÓDIGO N/ID",$AC$15:$AC$22,0))&amp;". Verifique se o código está correto ou busque outro código",
 IF(COUNTIF($AC$15:$AC$22,"DESCRIÇÃO")&gt;0,"Falta preencher a Descrição (coluna R) na Linha "&amp;(14+MATCH("DESCRIÇÃO",$AC$15:$AC$22,0)),
 IF(COUNTIF($AC$15:$AC$22,"UNIDADE")&gt;0,"Falta preencher a Unidade (coluna S) na Linha "&amp;(14+MATCH("UNIDADE",$AC$15:$AC$22,0)),
 IF(COUNTIF($AC$15:$AC$22,"SEM CUSTO")&gt;0,"Falta preencher o Custo Unitário (coluna U) na Linha "&amp;(14+MATCH("SEM CUSTO",$AC$15:$AC$22,0)),
 IF(COUNTIF($AC$15:$AC$22,"SEM PREÇO")&gt;0,"Falta preencher o Preço Unitário licitado (coluna AL) na Linha "&amp;(14+MATCH("SEM CUSTO",$AC$15:$AC$22,0)),
 IF(COUNTIF($AC$15:$AC$22,"BDI")&gt;0,"Falta definir o BDI (coluna V) na Linha "&amp;(14+MATCH("BDI",$AC$15:$AC$22,0)),
 IF(COUNTIF($AC$15:$AC$22,"ACIMA REF.")&gt;0,
         IF(TIPOORCAMENTO="Proposto","O custo unitário (coluna U) na Linha "&amp;(14+MATCH("ACIMA REF.",$AC$15:$AC$22,0))&amp;" está acima do custo referencial (coluna AG)",
            "O preço unitário licitado (coluna AL) na Linha "&amp;(14+MATCH("ACIMA REF.",$AC$15:$AC$22,0))&amp;" está acima do preço referencial do edital (coluna AN)"),
 IF(COUNTIF($AC$15:$AC$22,"QUANT.")&gt;0,"Falta a Quantidade do serviço na Linha "&amp;(14+MATCH("QUANT.",$AC$15:$AC$22,0))&amp;IF(ACOMPANHAMENTO="PLE",". Preencher na aba CÁLCULO",". Preencher na coluna AJ"),
 IF(COUNTIF($AC$15:$AC$22,"Código &gt;13")&gt;0,"O tamanho do código do serviço no TransfereGOV é limitado a 13 caracteres. Resuma o código (coluna Q) na Linha "&amp;(14+MATCH("Código &gt;13",$AC$15:$AC$22,0)),
 IF(COUNTIF($AC$15:$AC$22,"Descrição &gt;100")&gt;0,"O tamanho da descrição de macrosserviço no TransfereGOV é limitado a 100 caracteres. Resuma a descrição (coluna R) na Linha "&amp;(14+MATCH("Descrição &gt;100",$AC$15:$AC$22,0)),
 IF(COUNTIF($AC$15:$AC$22,"Descrição &gt;500")&gt;0,"O tamanho da descrição de serviço no TransfereGOV é limitado a 500 caracteres. Resuma a descrição (coluna R) na Linha "&amp;(14+MATCH("Descrição &gt;500",$AC$15:$AC$22,0)),
 IF(COUNTIF($AC$15:$AC$22,"Unid. Não Disp")&gt;0,"Unidade não disponível na lista do TransfereGOV. Reveja a unidade (coluna S) na Linha "&amp;(14+MATCH("Unid. Não Disp",$AC$15:$AC$22,0)),
 IF(AND(TIPOORCAMENTO="Proposto",LEFT($O$8,5)="(N/D:"),"Abra o arquivo Referência "&amp;Excel_BuiltIn_Database&amp;".xlsm","")))))))))))))))))</f>
        <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IF(OR($C14="S",$C14=0),0,MATCH(0,OFFSET($D14,1,$C14,ROW($C$22)-ROW($C14)),0))</f>
        <v>0</v>
      </c>
      <c r="K14">
        <f ca="1">IF(OR($C14="S",$C14=0),0,MATCH(OFFSET($D14,0,$C14)+IF($C14&lt;&gt;1,1,COUNTIF(QCI!$A$13:$A$24,ORÇAMENTO!E14)),OFFSET($D14,1,$C14,ROW($C$22)-ROW($C14)),0))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0.22600000000000001</v>
      </c>
      <c r="AJ14" s="431"/>
      <c r="AL14" s="439"/>
      <c r="AM14" s="336">
        <f t="shared" ref="AM14:AM21" ca="1" si="0">$X14</f>
        <v>0</v>
      </c>
      <c r="AN14" s="470" cm="1">
        <f t="array" aca="1" ref="AN14" ca="1">ROUND(ORÇAMENTO.CustoUnitario*(1+$AH14),2)</f>
        <v>0</v>
      </c>
    </row>
    <row r="15" spans="1:40" ht="12.75" customHeight="1" x14ac:dyDescent="0.2">
      <c r="A15">
        <v>0</v>
      </c>
      <c r="C15" t="s">
        <v>654</v>
      </c>
      <c r="D15">
        <f ca="1">COUNTA(OFFSET(D15,1,0):D$22)</f>
        <v>6</v>
      </c>
      <c r="E15">
        <v>0</v>
      </c>
      <c r="L15" s="114" t="s">
        <v>536</v>
      </c>
      <c r="M15" s="130" t="str" cm="1">
        <f t="array" ref="M15">IF(TIPOORCAMENTO="LICITADO","CTEF","LOTE")</f>
        <v>LOTE</v>
      </c>
      <c r="N15" s="130" t="str" cm="1">
        <f t="array" ref="N15">IF(TIPOORCAMENTO="LICITADO","CTEF","LOTE")</f>
        <v>LOTE</v>
      </c>
      <c r="O15" s="711">
        <f>Import.DescLote</f>
        <v>0</v>
      </c>
      <c r="P15" s="712"/>
      <c r="Q15" s="712"/>
      <c r="R15" s="712"/>
      <c r="S15" s="613"/>
      <c r="T15" s="614"/>
      <c r="U15" s="614"/>
      <c r="V15" s="615"/>
      <c r="W15" s="614"/>
      <c r="X15" s="131">
        <f ca="1">SUMIF(OFFSET($C15,1,0,ROW(X22)-ROW(X15)-1),"S",OFFSET(X15,1,0,ROW(X22)-ROW(X15)-1))</f>
        <v>131840.62</v>
      </c>
      <c r="Y15" s="7"/>
      <c r="Z15" t="str">
        <f ca="1">IF(AND($C15="S",$X15&gt;0),LEFT($Y15,2),"")</f>
        <v/>
      </c>
      <c r="AA15" s="426">
        <f ca="1">SUMIF(OFFSET($C15,1,0,ROW(AA22)-ROW(AA15)-1),"S",OFFSET(AA15,1,0,ROW(AA22)-ROW(AA15)-1))</f>
        <v>131840.62</v>
      </c>
      <c r="AB15" s="132">
        <f ca="1">SUMIF(OFFSET($C15,1,0,ROW(AB22)-ROW(AB15)-1),"S",OFFSET(AB15,1,0,ROW(AB22)-ROW(AB15)-1))</f>
        <v>0</v>
      </c>
      <c r="AC15" s="565" t="s">
        <v>752</v>
      </c>
      <c r="AG15" s="441"/>
      <c r="AH15" s="442"/>
      <c r="AJ15" s="430"/>
      <c r="AL15" s="440"/>
      <c r="AM15" s="471">
        <f t="shared" ca="1" si="0"/>
        <v>131840.62</v>
      </c>
      <c r="AN15" s="472"/>
    </row>
    <row r="16" spans="1:40" x14ac:dyDescent="0.2">
      <c r="A16">
        <f t="shared" ref="A16:A21" si="1">CHOOSE(1+LOG(1+2*(ORÇAMENTO.Nivel="Meta")+4*(ORÇAMENTO.Nivel="Nível 2")+8*(ORÇAMENTO.Nivel="Nível 3")+16*(ORÇAMENTO.Nivel="Nível 4")+32*(ORÇAMENTO.Nivel="Serviço"),2),0,1,2,3,4,"S")</f>
        <v>1</v>
      </c>
      <c r="B16">
        <f t="shared" ref="B16:B21" ca="1" si="2">IF(OR(C16="s",C16=0),OFFSET(B16,-1,0),C16)</f>
        <v>1</v>
      </c>
      <c r="C16">
        <f t="shared" ref="C16:C21" ca="1" si="3">IF(OFFSET(C16,-1,0)="L",1,IF(OFFSET(C16,-1,0)=1,2,IF(OR(A16="s",A16=0),"S",IF(AND(OFFSET(C16,-1,0)=2,A16=4),3,IF(AND(OR(OFFSET(C16,-1,0)="s",OFFSET(C16,-1,0)=0),A16&lt;&gt;"s",A16&gt;OFFSET(B16,-1,0)),OFFSET(B16,-1,0),A16)))))</f>
        <v>1</v>
      </c>
      <c r="D16">
        <f t="shared" ref="D16:D21" ca="1" si="4">IF(OR(C16="S",C16=0),0,IF(ISERROR(K16),J16,SMALL(J16:K16,1)))</f>
        <v>6</v>
      </c>
      <c r="E16">
        <f ca="1">IF($C16=1,OFFSET(E16,-1,0)+MAX(1,COUNTIF(QCI!$A$13:$A$24,OFFSET(ORÇAMENTO!E16,-1,0))),OFFSET(E16,-1,0))</f>
        <v>1</v>
      </c>
      <c r="F16">
        <f t="shared" ref="F16:F21" ca="1" si="5">IF($C16=1,0,IF($C16=2,OFFSET(F16,-1,0)+1,OFFSET(F16,-1,0)))</f>
        <v>0</v>
      </c>
      <c r="G16">
        <f t="shared" ref="G16:G21" ca="1" si="6">IF(AND($C16&lt;=2,$C16&lt;&gt;0),0,IF($C16=3,OFFSET(G16,-1,0)+1,OFFSET(G16,-1,0)))</f>
        <v>0</v>
      </c>
      <c r="H16">
        <f t="shared" ref="H16:H21" ca="1" si="7">IF(AND($C16&lt;=3,$C16&lt;&gt;0),0,IF($C16=4,OFFSET(H16,-1,0)+1,OFFSET(H16,-1,0)))</f>
        <v>0</v>
      </c>
      <c r="I16">
        <f t="shared" ref="I16:I21" ca="1" si="8">IF(AND($C16&lt;=4,$C16&lt;&gt;0),0,IF(AND($C16="S",$X16&gt;0),OFFSET(I16,-1,0)+1,OFFSET(I16,-1,0)))</f>
        <v>0</v>
      </c>
      <c r="J16">
        <f t="shared" ref="J16:J21" ca="1" si="9">IF(OR($C16="S",$C16=0),0,MATCH(0,OFFSET($D16,1,$C16,ROW($C$22)-ROW($C16)),0))</f>
        <v>6</v>
      </c>
      <c r="K16" t="e">
        <f ca="1">IF(OR($C16="S",$C16=0),0,MATCH(OFFSET($D16,0,$C16)+IF($C16&lt;&gt;1,1,COUNTIF(QCI!$A$13:$A$24,ORÇAMENTO!E16)),OFFSET($D16,1,$C16,ROW($C$22)-ROW($C16)),0))</f>
        <v>#N/A</v>
      </c>
      <c r="L16" s="114" t="str">
        <f t="shared" ref="L16:L21" ca="1" si="10">IF(OR($X16&gt;0,$C16=1,$C16=2,$C16=3,$C16=4),"F","")</f>
        <v>F</v>
      </c>
      <c r="M16" s="115" t="s">
        <v>701</v>
      </c>
      <c r="N16" s="116" t="str">
        <f t="shared" ref="N16:N21" ca="1" si="11">CHOOSE(1+LOG(1+2*(C16=1)+4*(C16=2)+8*(C16=3)+16*(C16=4)+32*(C16="S"),2),"","Meta","Nível 2","Nível 3","Nível 4","Serviço")</f>
        <v>Meta</v>
      </c>
      <c r="O16" s="117" t="str">
        <f t="shared" ref="O16:O21" ca="1" si="12">IF(OR($C16=0,$L16=""),"-",CONCATENATE(E16&amp;".",IF(AND($A$5&gt;=2,$C16&gt;=2),F16&amp;".",""),IF(AND($A$5&gt;=3,$C16&gt;=3),G16&amp;".",""),IF(AND($A$5&gt;=4,$C16&gt;=4),H16&amp;".",""),IF($C16="S",I16&amp;".","")))</f>
        <v>1.</v>
      </c>
      <c r="P16" s="118" t="s">
        <v>750</v>
      </c>
      <c r="Q16" s="119"/>
      <c r="R16" s="120" t="s">
        <v>1011</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131840.62</v>
      </c>
      <c r="Y16" s="126" t="s">
        <v>751</v>
      </c>
      <c r="Z16" t="str">
        <f t="shared" ref="Z16:Z21" ca="1" si="13">IF(AND($C16="S",$X16&gt;0),IF(ISBLANK($Y16),"RA",LEFT($Y16,2)),"")</f>
        <v/>
      </c>
      <c r="AA16" s="127" cm="1">
        <f t="array" aca="1" ref="AA16" ca="1">IF($C16="S",IF($Z16="CP",$X16,IF($Z16="RA",(($X16)*QCI!$AA$3),0)),SomaAgrup)</f>
        <v>131840.62</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21" ca="1" si="14">ROUND(IF(ISNUMBER(ORÇAMENTO.OpcaoBDI),ORÇAMENTO.OpcaoBDI,IF(LEFT(ORÇAMENTO.OpcaoBDI,3)="BDI",HLOOKUP(ORÇAMENTO.OpcaoBDI,$F$4:$H$5,2,FALSE),0)),15-11*$AF$9)</f>
        <v>0.22600000000000001</v>
      </c>
      <c r="AJ16" s="431"/>
      <c r="AL16" s="439"/>
      <c r="AM16" s="336">
        <f t="shared" ca="1" si="0"/>
        <v>131840.62</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5</v>
      </c>
      <c r="K17">
        <f ca="1">IF(OR($C17="S",$C17=0),0,MATCH(OFFSET($D17,0,$C17)+IF($C17&lt;&gt;1,1,COUNTIF(QCI!$A$13:$A$24,ORÇAMENTO!E17)),OFFSET($D17,1,$C17,ROW($C$22)-ROW($C17)),0))</f>
        <v>2</v>
      </c>
      <c r="L17" s="114" t="str">
        <f t="shared" ca="1" si="10"/>
        <v>F</v>
      </c>
      <c r="M17" s="115" t="s">
        <v>702</v>
      </c>
      <c r="N17" s="116" t="str">
        <f t="shared" ca="1" si="11"/>
        <v>Nível 2</v>
      </c>
      <c r="O17" s="117" t="str">
        <f t="shared" ca="1" si="12"/>
        <v>1.1.</v>
      </c>
      <c r="P17" s="118" t="s">
        <v>750</v>
      </c>
      <c r="Q17" s="119"/>
      <c r="R17" s="120" t="s">
        <v>784</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1664.9</v>
      </c>
      <c r="Y17" s="126" t="s">
        <v>751</v>
      </c>
      <c r="Z17" t="str">
        <f t="shared" ca="1" si="13"/>
        <v/>
      </c>
      <c r="AA17" s="127" cm="1">
        <f t="array" aca="1" ref="AA17" ca="1">IF($C17="S",IF($Z17="CP",$X17,IF($Z17="RA",(($X17)*QCI!$AA$3),0)),SomaAgrup)</f>
        <v>1664.9</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0.22600000000000001</v>
      </c>
      <c r="AJ17" s="431"/>
      <c r="AL17" s="439"/>
      <c r="AM17" s="336">
        <f t="shared" ca="1" si="0"/>
        <v>1664.9</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IF(OR($C18="S",$C18=0),0,MATCH(OFFSET($D18,0,$C18)+IF($C18&lt;&gt;1,1,COUNTIF(QCI!$A$13:$A$24,ORÇAMENTO!E18)),OFFSET($D18,1,$C18,ROW($C$22)-ROW($C18)),0))</f>
        <v>0</v>
      </c>
      <c r="L18" s="114" t="str">
        <f t="shared" ca="1" si="10"/>
        <v>F</v>
      </c>
      <c r="M18" s="115" t="s">
        <v>705</v>
      </c>
      <c r="N18" s="116" t="str">
        <f t="shared" ca="1" si="11"/>
        <v>Serviço</v>
      </c>
      <c r="O18" s="117" t="str">
        <f t="shared" ca="1" si="12"/>
        <v>1.1.1.</v>
      </c>
      <c r="P18" s="118" t="s">
        <v>750</v>
      </c>
      <c r="Q18" s="119" t="s">
        <v>1007</v>
      </c>
      <c r="R18" s="120" t="str" cm="1">
        <f t="array" aca="1" ref="R18" ca="1">IF($C18="S",REFERENCIA.Descricao,"(digite a descrição aqui)")</f>
        <v>ENGENHEIRO CIVIL DE OBRA PLENO COM ENCARGOS COMPLEMENTARES</v>
      </c>
      <c r="S18" s="121" t="str" cm="1">
        <f t="array" aca="1" ref="S18" ca="1">REFERENCIA.Unidade</f>
        <v>H</v>
      </c>
      <c r="T18" s="122">
        <f ca="1">OFFSET(CÁLCULO!H$15,ROW($T18)-ROW(T$15),0)</f>
        <v>10</v>
      </c>
      <c r="U18" s="123">
        <v>135.80000000000001</v>
      </c>
      <c r="V18" s="124" t="s">
        <v>663</v>
      </c>
      <c r="W18" s="122" cm="1">
        <f t="array" aca="1" ref="W18" ca="1">IF($C18="S",ROUND(IF(TIPOORCAMENTO="Proposto",ORÇAMENTO.CustoUnitario*(1+$AH18),ORÇAMENTO.PrecoUnitarioLicitado),15-13*$AF$10),0)</f>
        <v>166.49</v>
      </c>
      <c r="X18" s="125" cm="1">
        <f t="array" aca="1" ref="X18" ca="1">IF($C18="S",IF(OR(Import.TipoArredondamento&lt;&gt;"TransfereGOV",ACOMPANHAMENTO="BM"),VTOTAL1,SUM(OFFSET(CÁLCULO!$AA$15,ROW($X18)-ROW($X$15),1):OFFSET(CÁLCULO!$AL$15,ROW($X18)-ROW($X$15),-1))),IF($C18=0,0,ROUND(SomaAgrup,15-13*$AF$11)))</f>
        <v>1664.9</v>
      </c>
      <c r="Y18" s="126" t="s">
        <v>751</v>
      </c>
      <c r="Z18" t="str">
        <f t="shared" ca="1" si="13"/>
        <v>RA</v>
      </c>
      <c r="AA18" s="127" cm="1">
        <f t="array" aca="1" ref="AA18" ca="1">IF($C18="S",IF($Z18="CP",$X18,IF($Z18="RA",(($X18)*QCI!$AA$3),0)),SomaAgrup)</f>
        <v>1664.9</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90778</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13008</v>
      </c>
      <c r="AG18" s="428" cm="1">
        <f t="array" aca="1" ref="AG18" ca="1">ROUND(IF(DESONERACAO="sim",REFERENCIA.Desonerado,REFERENCIA.NaoDesonerado),2)</f>
        <v>135.80000000000001</v>
      </c>
      <c r="AH18" s="429">
        <f t="shared" ca="1" si="14"/>
        <v>0.22600000000000001</v>
      </c>
      <c r="AJ18" s="431"/>
      <c r="AL18" s="439"/>
      <c r="AM18" s="336">
        <f t="shared" ca="1" si="0"/>
        <v>1664.9</v>
      </c>
      <c r="AN18" s="470" cm="1">
        <f t="array" aca="1" ref="AN18" ca="1">ROUND(ORÇAMENTO.CustoUnitario*(1+$AH18),2)</f>
        <v>166.49</v>
      </c>
    </row>
    <row r="19" spans="1:40" x14ac:dyDescent="0.2">
      <c r="A19">
        <f t="shared" si="1"/>
        <v>2</v>
      </c>
      <c r="B19">
        <f t="shared" ca="1" si="2"/>
        <v>2</v>
      </c>
      <c r="C19">
        <f t="shared" ca="1" si="3"/>
        <v>2</v>
      </c>
      <c r="D19">
        <f t="shared" ca="1" si="4"/>
        <v>3</v>
      </c>
      <c r="E19">
        <f ca="1">IF($C19=1,OFFSET(E19,-1,0)+MAX(1,COUNTIF(QCI!$A$13:$A$24,OFFSET(ORÇAMENTO!E19,-1,0))),OFFSET(E19,-1,0))</f>
        <v>1</v>
      </c>
      <c r="F19">
        <f t="shared" ca="1" si="5"/>
        <v>2</v>
      </c>
      <c r="G19">
        <f t="shared" ca="1" si="6"/>
        <v>0</v>
      </c>
      <c r="H19">
        <f t="shared" ca="1" si="7"/>
        <v>0</v>
      </c>
      <c r="I19">
        <f t="shared" ca="1" si="8"/>
        <v>0</v>
      </c>
      <c r="J19">
        <f t="shared" ca="1" si="9"/>
        <v>3</v>
      </c>
      <c r="K19" t="e">
        <f ca="1">IF(OR($C19="S",$C19=0),0,MATCH(OFFSET($D19,0,$C19)+IF($C19&lt;&gt;1,1,COUNTIF(QCI!$A$13:$A$24,ORÇAMENTO!E19)),OFFSET($D19,1,$C19,ROW($C$22)-ROW($C19)),0))</f>
        <v>#N/A</v>
      </c>
      <c r="L19" s="114" t="str">
        <f t="shared" ca="1" si="10"/>
        <v>F</v>
      </c>
      <c r="M19" s="115" t="s">
        <v>702</v>
      </c>
      <c r="N19" s="116" t="str">
        <f t="shared" ca="1" si="11"/>
        <v>Nível 2</v>
      </c>
      <c r="O19" s="117" t="str">
        <f t="shared" ca="1" si="12"/>
        <v>1.2.</v>
      </c>
      <c r="P19" s="118" t="s">
        <v>750</v>
      </c>
      <c r="Q19" s="119"/>
      <c r="R19" s="120" t="s">
        <v>1008</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130175.72</v>
      </c>
      <c r="Y19" s="126" t="s">
        <v>751</v>
      </c>
      <c r="Z19" t="str">
        <f t="shared" ca="1" si="13"/>
        <v/>
      </c>
      <c r="AA19" s="127" cm="1">
        <f t="array" aca="1" ref="AA19" ca="1">IF($C19="S",IF($Z19="CP",$X19,IF($Z19="RA",(($X19)*QCI!$AA$3),0)),SomaAgrup)</f>
        <v>130175.72</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0.22600000000000001</v>
      </c>
      <c r="AJ19" s="431"/>
      <c r="AL19" s="439"/>
      <c r="AM19" s="336">
        <f t="shared" ca="1" si="0"/>
        <v>130175.72</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1</v>
      </c>
      <c r="J20">
        <f t="shared" ca="1" si="9"/>
        <v>0</v>
      </c>
      <c r="K20">
        <f ca="1">IF(OR($C20="S",$C20=0),0,MATCH(OFFSET($D20,0,$C20)+IF($C20&lt;&gt;1,1,COUNTIF(QCI!$A$13:$A$24,ORÇAMENTO!E20)),OFFSET($D20,1,$C20,ROW($C$22)-ROW($C20)),0))</f>
        <v>0</v>
      </c>
      <c r="L20" s="114" t="str">
        <f t="shared" ca="1" si="10"/>
        <v>F</v>
      </c>
      <c r="M20" s="115" t="s">
        <v>705</v>
      </c>
      <c r="N20" s="116" t="str">
        <f t="shared" ca="1" si="11"/>
        <v>Serviço</v>
      </c>
      <c r="O20" s="117" t="str">
        <f t="shared" ca="1" si="12"/>
        <v>1.2.1.</v>
      </c>
      <c r="P20" s="118" t="s">
        <v>750</v>
      </c>
      <c r="Q20" s="119" t="s">
        <v>1012</v>
      </c>
      <c r="R20" s="120" t="str" cm="1">
        <f t="array" aca="1" ref="R20" ca="1">IF($C20="S",REFERENCIA.Descricao,"(digite a descrição aqui)")</f>
        <v>EXECUÇÃO DE PAVIMENTO EM PARALELEPÍPEDOS, REJUNTAMENTO COM PÓ DE PEDRA. AF_05/2020</v>
      </c>
      <c r="S20" s="121" t="s">
        <v>623</v>
      </c>
      <c r="T20" s="122">
        <f ca="1">OFFSET(CÁLCULO!H$15,ROW($T20)-ROW(T$15),0)</f>
        <v>770</v>
      </c>
      <c r="U20" s="123">
        <v>121.33</v>
      </c>
      <c r="V20" s="124" t="s">
        <v>663</v>
      </c>
      <c r="W20" s="122" cm="1">
        <f t="array" aca="1" ref="W20" ca="1">IF($C20="S",ROUND(IF(TIPOORCAMENTO="Proposto",ORÇAMENTO.CustoUnitario*(1+$AH20),ORÇAMENTO.PrecoUnitarioLicitado),15-13*$AF$10),0)</f>
        <v>148.75</v>
      </c>
      <c r="X20" s="125" cm="1">
        <f t="array" aca="1" ref="X20" ca="1">IF($C20="S",IF(OR(Import.TipoArredondamento&lt;&gt;"TransfereGOV",ACOMPANHAMENTO="BM"),VTOTAL1,SUM(OFFSET(CÁLCULO!$AA$15,ROW($X20)-ROW($X$15),1):OFFSET(CÁLCULO!$AL$15,ROW($X20)-ROW($X$15),-1))),IF($C20=0,0,ROUND(SomaAgrup,15-13*$AF$11)))</f>
        <v>114537.5</v>
      </c>
      <c r="Y20" s="126" t="s">
        <v>751</v>
      </c>
      <c r="Z20" t="str">
        <f t="shared" ca="1" si="13"/>
        <v>RA</v>
      </c>
      <c r="AA20" s="127" cm="1">
        <f t="array" aca="1" ref="AA20" ca="1">IF($C20="S",IF($Z20="CP",$X20,IF($Z20="RA",(($X20)*QCI!$AA$3),0)),SomaAgrup)</f>
        <v>114537.5</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101167</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13642</v>
      </c>
      <c r="AG20" s="428" cm="1">
        <f t="array" aca="1" ref="AG20" ca="1">ROUND(IF(DESONERACAO="sim",REFERENCIA.Desonerado,REFERENCIA.NaoDesonerado),2)</f>
        <v>121.33</v>
      </c>
      <c r="AH20" s="429">
        <f t="shared" ca="1" si="14"/>
        <v>0.22600000000000001</v>
      </c>
      <c r="AJ20" s="431"/>
      <c r="AL20" s="439"/>
      <c r="AM20" s="336">
        <f t="shared" ca="1" si="0"/>
        <v>114537.5</v>
      </c>
      <c r="AN20" s="470" cm="1">
        <f t="array" aca="1" ref="AN20" ca="1">ROUND(ORÇAMENTO.CustoUnitario*(1+$AH20),2)</f>
        <v>148.75</v>
      </c>
    </row>
    <row r="21" spans="1:40" ht="51"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2</v>
      </c>
      <c r="J21">
        <f t="shared" ca="1" si="9"/>
        <v>0</v>
      </c>
      <c r="K21">
        <f ca="1">IF(OR($C21="S",$C21=0),0,MATCH(OFFSET($D21,0,$C21)+IF($C21&lt;&gt;1,1,COUNTIF(QCI!$A$13:$A$24,ORÇAMENTO!E21)),OFFSET($D21,1,$C21,ROW($C$22)-ROW($C21)),0))</f>
        <v>0</v>
      </c>
      <c r="L21" s="114" t="str">
        <f t="shared" ca="1" si="10"/>
        <v>F</v>
      </c>
      <c r="M21" s="115" t="s">
        <v>705</v>
      </c>
      <c r="N21" s="116" t="str">
        <f t="shared" ca="1" si="11"/>
        <v>Serviço</v>
      </c>
      <c r="O21" s="117" t="str">
        <f t="shared" ca="1" si="12"/>
        <v>1.2.2.</v>
      </c>
      <c r="P21" s="118" t="s">
        <v>750</v>
      </c>
      <c r="Q21" s="119" t="s">
        <v>1013</v>
      </c>
      <c r="R21" s="120" t="str" cm="1">
        <f t="array" aca="1" ref="R21" ca="1">IF($C21="S",REFERENCIA.Descricao,"(digite a descrição aqui)")</f>
        <v>ASSENTAMENTO DE GUIA (MEIO-FIO) EM TRECHO CURVO, CONFECCIONADA EM CONCRETO PRÉ-FABRICADO, DIMENSÕES 100X15X13X30 CM (COMPRIMENTO X BASE INFERIOR X BASE SUPERIOR X ALTURA). AF_01/2024</v>
      </c>
      <c r="S21" s="121" t="str" cm="1">
        <f t="array" aca="1" ref="S21" ca="1">REFERENCIA.Unidade</f>
        <v>M</v>
      </c>
      <c r="T21" s="122">
        <f ca="1">OFFSET(CÁLCULO!H$15,ROW($T21)-ROW(T$15),0)</f>
        <v>234</v>
      </c>
      <c r="U21" s="123">
        <v>54.51</v>
      </c>
      <c r="V21" s="124" t="s">
        <v>663</v>
      </c>
      <c r="W21" s="122" cm="1">
        <f t="array" aca="1" ref="W21" ca="1">IF($C21="S",ROUND(IF(TIPOORCAMENTO="Proposto",ORÇAMENTO.CustoUnitario*(1+$AH21),ORÇAMENTO.PrecoUnitarioLicitado),15-13*$AF$10),0)</f>
        <v>66.83</v>
      </c>
      <c r="X21" s="125" cm="1">
        <f t="array" aca="1" ref="X21" ca="1">IF($C21="S",IF(OR(Import.TipoArredondamento&lt;&gt;"TransfereGOV",ACOMPANHAMENTO="BM"),VTOTAL1,SUM(OFFSET(CÁLCULO!$AA$15,ROW($X21)-ROW($X$15),1):OFFSET(CÁLCULO!$AL$15,ROW($X21)-ROW($X$15),-1))),IF($C21=0,0,ROUND(SomaAgrup,15-13*$AF$11)))</f>
        <v>15638.22</v>
      </c>
      <c r="Y21" s="126" t="s">
        <v>751</v>
      </c>
      <c r="Z21" t="str">
        <f t="shared" ca="1" si="13"/>
        <v>RA</v>
      </c>
      <c r="AA21" s="127" cm="1">
        <f t="array" aca="1" ref="AA21" ca="1">IF($C21="S",IF($Z21="CP",$X21,IF($Z21="RA",(($X21)*QCI!$AA$3),0)),SomaAgrup)</f>
        <v>15638.22</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94274</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10234</v>
      </c>
      <c r="AG21" s="428" cm="1">
        <f t="array" aca="1" ref="AG21" ca="1">ROUND(IF(DESONERACAO="sim",REFERENCIA.Desonerado,REFERENCIA.NaoDesonerado),2)</f>
        <v>54.51</v>
      </c>
      <c r="AH21" s="429">
        <f t="shared" ca="1" si="14"/>
        <v>0.22600000000000001</v>
      </c>
      <c r="AJ21" s="431"/>
      <c r="AL21" s="439"/>
      <c r="AM21" s="336">
        <f t="shared" ca="1" si="0"/>
        <v>15638.22</v>
      </c>
      <c r="AN21" s="470" cm="1">
        <f t="array" aca="1" ref="AN21" ca="1">ROUND(ORÇAMENTO.CustoUnitario*(1+$AH21),2)</f>
        <v>66.83</v>
      </c>
    </row>
    <row r="22" spans="1:40" ht="5.0999999999999996" customHeight="1" x14ac:dyDescent="0.2">
      <c r="A22">
        <v>-1</v>
      </c>
      <c r="C22">
        <v>-1</v>
      </c>
      <c r="E22">
        <v>0</v>
      </c>
      <c r="F22">
        <v>0</v>
      </c>
      <c r="G22">
        <v>0</v>
      </c>
      <c r="H22">
        <v>0</v>
      </c>
      <c r="I22">
        <v>0</v>
      </c>
      <c r="L22" s="114" t="s">
        <v>536</v>
      </c>
      <c r="M22" s="616"/>
      <c r="N22" s="424"/>
      <c r="O22" s="616"/>
      <c r="P22" s="617"/>
      <c r="Q22" s="617"/>
      <c r="R22" s="617"/>
      <c r="S22" s="617"/>
      <c r="T22" s="617"/>
      <c r="U22" s="617"/>
      <c r="V22" s="617"/>
      <c r="W22" s="617"/>
      <c r="X22" s="424"/>
      <c r="Y22" s="424"/>
      <c r="AC22" s="565" t="str" cm="1">
        <f t="array" ref="AC22">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F22" s="12"/>
      <c r="AG22" s="618"/>
      <c r="AH22" s="419"/>
      <c r="AJ22" s="425"/>
      <c r="AL22" s="618"/>
      <c r="AM22" s="619"/>
      <c r="AN22" s="419"/>
    </row>
    <row r="23" spans="1:40" x14ac:dyDescent="0.2">
      <c r="AF23" s="12"/>
    </row>
    <row r="24" spans="1:40" x14ac:dyDescent="0.2">
      <c r="AF24" s="12"/>
    </row>
    <row r="25" spans="1:40" ht="14.25" x14ac:dyDescent="0.2">
      <c r="O25" s="134" t="s">
        <v>753</v>
      </c>
      <c r="Q25" s="713" t="s">
        <v>754</v>
      </c>
      <c r="R25" s="713"/>
      <c r="S25" s="713"/>
      <c r="T25" s="713"/>
      <c r="U25" s="713"/>
      <c r="V25" s="713"/>
      <c r="W25" s="713"/>
      <c r="X25" s="713"/>
      <c r="AF25" s="12"/>
    </row>
    <row r="26" spans="1:40" x14ac:dyDescent="0.2">
      <c r="AF26" s="12"/>
    </row>
    <row r="27" spans="1:40" ht="14.25" x14ac:dyDescent="0.2">
      <c r="O27" s="135" t="s">
        <v>689</v>
      </c>
      <c r="X27" s="4"/>
      <c r="AF27" s="12"/>
    </row>
    <row r="28" spans="1:40" ht="12.75" customHeight="1" x14ac:dyDescent="0.2">
      <c r="O28" s="714"/>
      <c r="P28" s="714"/>
      <c r="Q28" s="714"/>
      <c r="R28" s="714"/>
      <c r="S28" s="714"/>
      <c r="T28" s="714"/>
      <c r="U28" s="714"/>
      <c r="V28" s="714"/>
      <c r="W28" s="714"/>
      <c r="X28" s="714"/>
      <c r="AF28" s="12"/>
    </row>
    <row r="29" spans="1:40" x14ac:dyDescent="0.2">
      <c r="O29" s="714"/>
      <c r="P29" s="714"/>
      <c r="Q29" s="714"/>
      <c r="R29" s="714"/>
      <c r="S29" s="714"/>
      <c r="T29" s="714"/>
      <c r="U29" s="714"/>
      <c r="V29" s="714"/>
      <c r="W29" s="714"/>
      <c r="X29" s="714"/>
      <c r="AF29" s="12"/>
    </row>
    <row r="30" spans="1:40" x14ac:dyDescent="0.2">
      <c r="O30" s="714"/>
      <c r="P30" s="714"/>
      <c r="Q30" s="714"/>
      <c r="R30" s="714"/>
      <c r="S30" s="714"/>
      <c r="T30" s="714"/>
      <c r="U30" s="714"/>
      <c r="V30" s="714"/>
      <c r="W30" s="714"/>
      <c r="X30" s="714"/>
      <c r="AF30" s="12"/>
    </row>
    <row r="31" spans="1:40" ht="14.25" x14ac:dyDescent="0.2">
      <c r="O31" s="443"/>
      <c r="P31" s="443"/>
      <c r="Q31" s="443"/>
      <c r="R31" s="443"/>
      <c r="S31" s="443"/>
      <c r="T31" s="443"/>
      <c r="U31" s="443"/>
      <c r="V31" s="443"/>
      <c r="W31" s="443"/>
      <c r="X31" s="443"/>
      <c r="Y31" s="443"/>
      <c r="Z31" s="136"/>
      <c r="AA31" s="136"/>
      <c r="AB31" s="136"/>
      <c r="AF31" s="12"/>
    </row>
    <row r="32" spans="1:40" ht="15" x14ac:dyDescent="0.25">
      <c r="O32"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32" s="715"/>
      <c r="Q32" s="715"/>
      <c r="R32" s="715"/>
      <c r="S32" s="715"/>
      <c r="T32" s="715"/>
      <c r="U32" s="715"/>
      <c r="V32" s="715"/>
      <c r="W32" s="715"/>
      <c r="X32" s="715"/>
      <c r="Y32" s="137"/>
      <c r="Z32" s="137"/>
      <c r="AA32" s="137"/>
      <c r="AB32" s="137"/>
      <c r="AF32" s="12"/>
    </row>
    <row r="33" spans="15:32" ht="15" customHeight="1" x14ac:dyDescent="0.25">
      <c r="O33" s="717" t="s">
        <v>755</v>
      </c>
      <c r="P33" s="717"/>
      <c r="Q33" s="717"/>
      <c r="R33" s="717"/>
      <c r="S33" s="717"/>
      <c r="T33" s="717"/>
      <c r="U33" s="717"/>
      <c r="V33" s="717"/>
      <c r="W33" s="717"/>
      <c r="X33" s="717"/>
      <c r="Y33" s="137"/>
      <c r="Z33" s="137"/>
      <c r="AA33" s="137"/>
      <c r="AB33" s="137"/>
      <c r="AF33" s="12"/>
    </row>
    <row r="34" spans="15:32" x14ac:dyDescent="0.2">
      <c r="AF34" s="12"/>
    </row>
    <row r="35" spans="15:32" ht="30" customHeight="1" x14ac:dyDescent="0.2">
      <c r="O35" s="716" t="str">
        <f>Import.Município</f>
        <v>Ivorá/RS</v>
      </c>
      <c r="P35" s="716"/>
      <c r="Q35" s="716"/>
      <c r="S35" s="460"/>
      <c r="T35" s="460"/>
      <c r="U35" s="460"/>
      <c r="V35" s="460"/>
      <c r="W35" s="417"/>
      <c r="AF35" s="12"/>
    </row>
    <row r="36" spans="15:32" x14ac:dyDescent="0.2">
      <c r="O36" s="9" t="s">
        <v>693</v>
      </c>
      <c r="S36" s="181" t="s">
        <v>696</v>
      </c>
      <c r="T36" s="181"/>
      <c r="U36" s="181"/>
      <c r="V36" s="181"/>
      <c r="AF36" s="12"/>
    </row>
    <row r="37" spans="15:32" x14ac:dyDescent="0.2">
      <c r="S37" s="77" t="s">
        <v>240</v>
      </c>
      <c r="T37" s="78" t="str">
        <f t="array" ref="T37:T39">Import.RespOrçamento</f>
        <v>Vitor Camargo Costa</v>
      </c>
      <c r="V37" s="79"/>
      <c r="AF37" s="12"/>
    </row>
    <row r="38" spans="15:32" x14ac:dyDescent="0.2">
      <c r="O38" s="710">
        <f>DADOS!$C$25</f>
        <v>45957</v>
      </c>
      <c r="P38" s="710"/>
      <c r="Q38" s="710"/>
      <c r="S38" s="77" t="s">
        <v>243</v>
      </c>
      <c r="T38" s="78" t="str">
        <v>RS203284</v>
      </c>
      <c r="U38" s="79"/>
      <c r="V38" s="79"/>
      <c r="AF38" s="12"/>
    </row>
    <row r="39" spans="15:32" x14ac:dyDescent="0.2">
      <c r="O39" s="140" t="s">
        <v>694</v>
      </c>
      <c r="P39" s="1"/>
      <c r="Q39" s="1"/>
      <c r="S39" s="77" t="s">
        <v>246</v>
      </c>
      <c r="T39" s="78">
        <v>0</v>
      </c>
      <c r="U39" s="79"/>
      <c r="V39" s="79"/>
      <c r="AF39" s="12"/>
    </row>
    <row r="40" spans="15:32" x14ac:dyDescent="0.2">
      <c r="AF40" s="12"/>
    </row>
    <row r="41" spans="15:32" x14ac:dyDescent="0.2">
      <c r="AF41" s="12"/>
    </row>
    <row r="42" spans="15:32" x14ac:dyDescent="0.2">
      <c r="AF42" s="12"/>
    </row>
    <row r="43" spans="15:32" x14ac:dyDescent="0.2">
      <c r="AF43" s="12"/>
    </row>
    <row r="44" spans="15:32" x14ac:dyDescent="0.2">
      <c r="AF44" s="12"/>
    </row>
    <row r="45" spans="15:32" x14ac:dyDescent="0.2">
      <c r="AF45" s="12"/>
    </row>
    <row r="46" spans="15:32" x14ac:dyDescent="0.2">
      <c r="AF46" s="12"/>
    </row>
    <row r="47" spans="15:32" x14ac:dyDescent="0.2">
      <c r="AF47" s="12"/>
    </row>
    <row r="48" spans="15:32" x14ac:dyDescent="0.2">
      <c r="AF48" s="12"/>
    </row>
    <row r="49" spans="32:32" x14ac:dyDescent="0.2">
      <c r="AF49" s="12"/>
    </row>
    <row r="50" spans="32:32" x14ac:dyDescent="0.2">
      <c r="AF50" s="12"/>
    </row>
    <row r="51" spans="32:32" x14ac:dyDescent="0.2">
      <c r="AF51" s="12"/>
    </row>
    <row r="52" spans="32:32" x14ac:dyDescent="0.2">
      <c r="AF52" s="12"/>
    </row>
    <row r="53" spans="32:32" x14ac:dyDescent="0.2">
      <c r="AF53" s="12"/>
    </row>
    <row r="54" spans="32:32" x14ac:dyDescent="0.2">
      <c r="AF54" s="12"/>
    </row>
    <row r="55" spans="32:32" x14ac:dyDescent="0.2">
      <c r="AF55" s="12"/>
    </row>
    <row r="56" spans="32:32" x14ac:dyDescent="0.2">
      <c r="AF56" s="12"/>
    </row>
    <row r="57" spans="32:32" x14ac:dyDescent="0.2">
      <c r="AF57" s="12"/>
    </row>
    <row r="58" spans="32:32" x14ac:dyDescent="0.2">
      <c r="AF58" s="12"/>
    </row>
    <row r="59" spans="32:32" x14ac:dyDescent="0.2">
      <c r="AF59" s="12"/>
    </row>
    <row r="60" spans="32:32" x14ac:dyDescent="0.2">
      <c r="AF60" s="12"/>
    </row>
    <row r="61" spans="32:32" x14ac:dyDescent="0.2">
      <c r="AF61" s="12"/>
    </row>
    <row r="62" spans="32:32" x14ac:dyDescent="0.2">
      <c r="AF62" s="12"/>
    </row>
    <row r="63" spans="32:32" x14ac:dyDescent="0.2">
      <c r="AF63" s="12"/>
    </row>
    <row r="64" spans="32: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sheetData>
  <sheetProtection algorithmName="SHA-512" hashValue="NxfB2JqieqcFhjW2J95zpHIQGezC27pDdeW9gdJTFXWdWTPABazgrpyEhZbFpjdslC3CyrO+Hu7P4bzmU2FHpA==" saltValue="Fqb6iyOBIW6E1atrBaEDyg==" spinCount="100000" sheet="1" objects="1" scenarios="1" autoFilter="0"/>
  <autoFilter ref="L15:L22"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38:Q38"/>
    <mergeCell ref="O15:R15"/>
    <mergeCell ref="Q25:X25"/>
    <mergeCell ref="O28:X30"/>
    <mergeCell ref="O32:X32"/>
    <mergeCell ref="O35:Q35"/>
    <mergeCell ref="O33:X33"/>
  </mergeCells>
  <phoneticPr fontId="38" type="noConversion"/>
  <conditionalFormatting sqref="M14 M16:M21">
    <cfRule type="cellIs" dxfId="384" priority="43072" stopIfTrue="1" operator="notEqual">
      <formula>$N14</formula>
    </cfRule>
  </conditionalFormatting>
  <conditionalFormatting sqref="N14:O14 W14 N16:O21 W16:X21 R16:R21">
    <cfRule type="expression" dxfId="383" priority="43073" stopIfTrue="1">
      <formula>$C14=1</formula>
    </cfRule>
    <cfRule type="expression" dxfId="382" priority="43074" stopIfTrue="1">
      <formula>OR($C14=0,$C14=2,$C14=3,$C14=4)</formula>
    </cfRule>
  </conditionalFormatting>
  <conditionalFormatting sqref="U14:V14 U16:V21">
    <cfRule type="expression" dxfId="381" priority="43075" stopIfTrue="1">
      <formula>$C14=1</formula>
    </cfRule>
    <cfRule type="expression" dxfId="380" priority="43076" stopIfTrue="1">
      <formula>OR($C14=0,$C14=2,$C14=3,$C14=4)</formula>
    </cfRule>
    <cfRule type="expression" dxfId="379" priority="43077" stopIfTrue="1">
      <formula>AND(TIPOORCAMENTO="Licitado",$C14&lt;&gt;"L",$C14&lt;&gt;-1)</formula>
    </cfRule>
  </conditionalFormatting>
  <conditionalFormatting sqref="P14:Q14 S14:T14 Y14 AG14:AH14 P16:Q21 S16:T21 Y16:Y21 AG16:AH21">
    <cfRule type="expression" dxfId="378" priority="43078" stopIfTrue="1">
      <formula>$C14=1</formula>
    </cfRule>
    <cfRule type="expression" dxfId="377" priority="43079" stopIfTrue="1">
      <formula>OR($C14=0,$C14=2,$C14=3,$C14=4)</formula>
    </cfRule>
  </conditionalFormatting>
  <conditionalFormatting sqref="AJ7:AJ22">
    <cfRule type="expression" dxfId="376" priority="43080" stopIfTrue="1">
      <formula>OR(ACOMPANHAMENTO&lt;&gt;"BM",TIPOORCAMENTO="Licitado")</formula>
    </cfRule>
    <cfRule type="expression" dxfId="375" priority="43081" stopIfTrue="1">
      <formula>$C7=1</formula>
    </cfRule>
    <cfRule type="expression" dxfId="374" priority="43082" stopIfTrue="1">
      <formula>OR(AND(ISNUMBER($C7),$C7=0),$C7=2,$C7=3,$C7=4)</formula>
    </cfRule>
  </conditionalFormatting>
  <conditionalFormatting sqref="AL7:AL22">
    <cfRule type="expression" dxfId="373" priority="43083" stopIfTrue="1">
      <formula>TIPOORCAMENTO="PROPOSTO"</formula>
    </cfRule>
    <cfRule type="expression" dxfId="372" priority="43084" stopIfTrue="1">
      <formula>$C7=1</formula>
    </cfRule>
    <cfRule type="expression" dxfId="371" priority="43085" stopIfTrue="1">
      <formula>OR(AND(ISNUMBER($C7),$C7=0),$C7=2,$C7=3,$C7=4)</formula>
    </cfRule>
  </conditionalFormatting>
  <conditionalFormatting sqref="O8:P8">
    <cfRule type="expression" dxfId="370" priority="43089" stopIfTrue="1">
      <formula>ISERROR(INDIRECT($F$9))</formula>
    </cfRule>
  </conditionalFormatting>
  <conditionalFormatting sqref="S7:V8">
    <cfRule type="expression" dxfId="369" priority="43090" stopIfTrue="1">
      <formula>TIPOORCAMENTO="Proposto"</formula>
    </cfRule>
  </conditionalFormatting>
  <conditionalFormatting sqref="S9:X9">
    <cfRule type="expression" dxfId="368" priority="43037" stopIfTrue="1">
      <formula>TIPOORCAMENTO="Proposto"</formula>
    </cfRule>
  </conditionalFormatting>
  <conditionalFormatting sqref="AM7:AN22">
    <cfRule type="expression" dxfId="367" priority="43086" stopIfTrue="1">
      <formula>TIPOORCAMENTO="PROPOSTO"</formula>
    </cfRule>
    <cfRule type="expression" dxfId="366" priority="43087" stopIfTrue="1">
      <formula>$C7=1</formula>
    </cfRule>
    <cfRule type="expression" dxfId="365" priority="43088" stopIfTrue="1">
      <formula>OR(AND(ISNUMBER($C7),$C7=0),$C7=2,$C7=3,$C7=4)</formula>
    </cfRule>
  </conditionalFormatting>
  <conditionalFormatting sqref="X14">
    <cfRule type="expression" dxfId="364" priority="28662" stopIfTrue="1">
      <formula>$C14=1</formula>
    </cfRule>
    <cfRule type="expression" dxfId="363" priority="28663" stopIfTrue="1">
      <formula>OR($C14=0,$C14=2,$C14=3,$C14=4)</formula>
    </cfRule>
  </conditionalFormatting>
  <conditionalFormatting sqref="AC11">
    <cfRule type="cellIs" dxfId="362" priority="19497" operator="equal">
      <formula>"OK"</formula>
    </cfRule>
  </conditionalFormatting>
  <conditionalFormatting sqref="R14">
    <cfRule type="expression" dxfId="361" priority="4429" stopIfTrue="1">
      <formula>$C14=1</formula>
    </cfRule>
    <cfRule type="expression" dxfId="360" priority="4430" stopIfTrue="1">
      <formula>OR($C14=0,$C14=2,$C14=3,$C14=4)</formula>
    </cfRule>
  </conditionalFormatting>
  <conditionalFormatting sqref="R14 R16:R21">
    <cfRule type="beginsWith" dxfId="359" priority="4428" operator="beginsWith" text="(">
      <formula>LEFT(R14,LEN("("))="("</formula>
    </cfRule>
  </conditionalFormatting>
  <dataValidations count="8">
    <dataValidation type="decimal" operator="greaterThan" allowBlank="1" showErrorMessage="1" error="Apenas números decimais maiores que zero." sqref="U14 AL14 AJ14 AL16:AL21 U16:U21 AJ16:AJ21"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1"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1" xr:uid="{00000000-0002-0000-0400-000006000000}"/>
    <dataValidation type="list" errorStyle="information" allowBlank="1" showInputMessage="1" prompt="Selecione uma sigla de unidade na lista suspensa." sqref="S14 S16:S21"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1"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1"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1"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1"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IF(AUTOEVENTO="Manual",ROUND(SUMPRODUCT((CÁLCULO!$M$15:$M$22=EVENTOS!$C1)*(OFFSET(CÁLCULO!$AA$15:$AA$22,0,E$13))),2),0)</f>
        <v>0</v>
      </c>
      <c r="F1" s="183">
        <f ca="1">IF(AUTOEVENTO="Manual",ROUND(SUMPRODUCT((CÁLCULO!$M$15:$M$22=EVENTOS!$C1)*(OFFSET(CÁLCULO!$AA$15,0,1):OFFSET(CÁLCULO!$AL$22,0,-1))),2),0)</f>
        <v>0</v>
      </c>
      <c r="G1" s="621" t="str">
        <f ca="1">IF(AND(D1=0,F1&gt;0),"NOME",
 IF(AND(D1&lt;&gt;0,$F$14&gt;0,F1=0),"VALOR",
 IF(AND(Import.TipoArredondamento="TransfereGOV",$A1="F",LEN(D1)&gt;100),"Nome &gt;100","")))</f>
        <v/>
      </c>
      <c r="H1" s="620" cm="1">
        <f t="array" aca="1" ref="H1" ca="1">IF(AUTOEVENTO="Manual",ROUND(SUMPRODUCT((CÁLCULO!$M$15:$M$22=EVENTOS!$C1)*(OFFSET(CÁLCULO!$AA$15:$AA$22,0,H$13))),2),0)</f>
        <v>0</v>
      </c>
      <c r="I1" s="620" cm="1">
        <f t="array" aca="1" ref="I1" ca="1">IF(AUTOEVENTO="Manual",ROUND(SUMPRODUCT((CÁLCULO!$M$15:$M$22=EVENTOS!$C1)*(OFFSET(CÁLCULO!$AA$15:$AA$22,0,I$13))),2),0)</f>
        <v>0</v>
      </c>
      <c r="J1" s="620" cm="1">
        <f t="array" aca="1" ref="J1" ca="1">IF(AUTOEVENTO="Manual",ROUND(SUMPRODUCT((CÁLCULO!$M$15:$M$22=EVENTOS!$C1)*(OFFSET(CÁLCULO!$AA$15:$AA$22,0,J$13))),2),0)</f>
        <v>0</v>
      </c>
      <c r="K1" s="620" cm="1">
        <f t="array" aca="1" ref="K1" ca="1">IF(AUTOEVENTO="Manual",ROUND(SUMPRODUCT((CÁLCULO!$M$15:$M$22=EVENTOS!$C1)*(OFFSET(CÁLCULO!$AA$15:$AA$22,0,K$13))),2),0)</f>
        <v>0</v>
      </c>
      <c r="L1" s="620" cm="1">
        <f t="array" aca="1" ref="L1" ca="1">IF(AUTOEVENTO="Manual",ROUND(SUMPRODUCT((CÁLCULO!$M$15:$M$22=EVENTOS!$C1)*(OFFSET(CÁLCULO!$AA$15:$AA$22,0,L$13))),2),0)</f>
        <v>0</v>
      </c>
      <c r="M1" s="620" cm="1">
        <f t="array" aca="1" ref="M1" ca="1">IF(AUTOEVENTO="Manual",ROUND(SUMPRODUCT((CÁLCULO!$M$15:$M$22=EVENTOS!$C1)*(OFFSET(CÁLCULO!$AA$15:$AA$22,0,M$13))),2),0)</f>
        <v>0</v>
      </c>
      <c r="N1" s="620" cm="1">
        <f t="array" aca="1" ref="N1" ca="1">IF(AUTOEVENTO="Manual",ROUND(SUMPRODUCT((CÁLCULO!$M$15:$M$22=EVENTOS!$C1)*(OFFSET(CÁLCULO!$AA$15:$AA$22,0,N$13))),2),0)</f>
        <v>0</v>
      </c>
      <c r="O1" s="620" cm="1">
        <f t="array" aca="1" ref="O1" ca="1">IF(AUTOEVENTO="Manual",ROUND(SUMPRODUCT((CÁLCULO!$M$15:$M$22=EVENTOS!$C1)*(OFFSET(CÁLCULO!$AA$15:$AA$22,0,O$13))),2),0)</f>
        <v>0</v>
      </c>
      <c r="P1" s="620" cm="1">
        <f t="array" aca="1" ref="P1" ca="1">IF(AUTOEVENTO="Manual",ROUND(SUMPRODUCT((CÁLCULO!$M$15:$M$22=EVENTOS!$C1)*(OFFSET(CÁLCULO!$AA$15:$AA$22,0,P$13))),2),0)</f>
        <v>0</v>
      </c>
      <c r="Q1" s="620" cm="1">
        <f t="array" aca="1" ref="Q1" ca="1">IF(AUTOEVENTO="Manual",ROUND(SUMPRODUCT((CÁLCULO!$M$15:$M$22=EVENTOS!$C1)*(OFFSET(CÁLCULO!$AA$15:$AA$22,0,Q$13))),2),0)</f>
        <v>0</v>
      </c>
      <c r="R1" s="620" cm="1">
        <f t="array" aca="1" ref="R1" ca="1">IF(AUTOEVENTO="Manual",ROUND(SUMPRODUCT((CÁLCULO!$M$15:$M$22=EVENTOS!$C1)*(OFFSET(CÁLCULO!$AA$15:$AA$22,0,R$13))),2),0)</f>
        <v>0</v>
      </c>
      <c r="S1" s="620" cm="1">
        <f t="array" aca="1" ref="S1" ca="1">IF(AUTOEVENTO="Manual",ROUND(SUMPRODUCT((CÁLCULO!$M$15:$M$22=EVENTOS!$C1)*(OFFSET(CÁLCULO!$AA$15:$AA$22,0,S$13))),2),0)</f>
        <v>0</v>
      </c>
      <c r="T1" s="620" cm="1">
        <f t="array" aca="1" ref="T1" ca="1">IF(AUTOEVENTO="Manual",ROUND(SUMPRODUCT((CÁLCULO!$M$15:$M$22=EVENTOS!$C1)*(OFFSET(CÁLCULO!$AA$15:$AA$22,0,T$13))),2),0)</f>
        <v>0</v>
      </c>
      <c r="U1" s="620" cm="1">
        <f t="array" aca="1" ref="U1" ca="1">IF(AUTOEVENTO="Manual",ROUND(SUMPRODUCT((CÁLCULO!$M$15:$M$22=EVENTOS!$C1)*(OFFSET(CÁLCULO!$AA$15:$AA$22,0,U$13))),2),0)</f>
        <v>0</v>
      </c>
      <c r="V1" s="620" cm="1">
        <f t="array" aca="1" ref="V1" ca="1">IF(AUTOEVENTO="Manual",ROUND(SUMPRODUCT((CÁLCULO!$M$15:$M$22=EVENTOS!$C1)*(OFFSET(CÁLCULO!$AA$15:$AA$22,0,V$13))),2),0)</f>
        <v>0</v>
      </c>
      <c r="W1" s="620" cm="1">
        <f t="array" aca="1" ref="W1" ca="1">IF(AUTOEVENTO="Manual",ROUND(SUMPRODUCT((CÁLCULO!$M$15:$M$22=EVENTOS!$C1)*(OFFSET(CÁLCULO!$AA$15:$AA$22,0,W$13))),2),0)</f>
        <v>0</v>
      </c>
      <c r="X1" s="620" cm="1">
        <f t="array" aca="1" ref="X1" ca="1">IF(AUTOEVENTO="Manual",ROUND(SUMPRODUCT((CÁLCULO!$M$15:$M$22=EVENTOS!$C1)*(OFFSET(CÁLCULO!$AA$15:$AA$22,0,X$13))),2),0)</f>
        <v>0</v>
      </c>
      <c r="Y1" s="620" cm="1">
        <f t="array" aca="1" ref="Y1" ca="1">IF(AUTOEVENTO="Manual",ROUND(SUMPRODUCT((CÁLCULO!$M$15:$M$22=EVENTOS!$C1)*(OFFSET(CÁLCULO!$AA$15:$AA$22,0,Y$13))),2),0)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32" t="str">
        <f>Import.Apelido</f>
        <v>Pavimentação Eliseu Didonet</v>
      </c>
      <c r="G5" s="733"/>
      <c r="H5" s="733"/>
      <c r="I5" s="733"/>
      <c r="J5" s="733"/>
      <c r="K5" s="733"/>
      <c r="L5" s="733"/>
      <c r="M5" s="734"/>
      <c r="N5" s="56">
        <f>Import.CR</f>
        <v>0</v>
      </c>
      <c r="O5" s="56">
        <f>Import.SICONV</f>
        <v>0</v>
      </c>
      <c r="P5" s="732" t="str">
        <f>Import.Apelido</f>
        <v>Pavimentação Eliseu Didonet</v>
      </c>
      <c r="Q5" s="733"/>
      <c r="R5" s="733"/>
      <c r="S5" s="733"/>
      <c r="T5" s="733"/>
      <c r="U5" s="733"/>
      <c r="V5" s="733"/>
      <c r="W5" s="734"/>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t="str">
        <f ca="1">OFFSET(CÁLCULO!$P$12,0,EVENTOS!E$13)</f>
        <v>Mês 1</v>
      </c>
      <c r="F10" t="s">
        <v>752</v>
      </c>
      <c r="G10" s="725"/>
      <c r="H10" s="730" t="str">
        <f ca="1">OFFSET(CÁLCULO!$P$12,0,EVENTOS!H$13)</f>
        <v>Mês 1</v>
      </c>
      <c r="I10" s="730" t="str">
        <f ca="1">OFFSET(CÁLCULO!$P$12,0,EVENTOS!I$13)</f>
        <v>Mês 2</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IF($C$15=0,0,ROUND(SUMPRODUCT((CÁLCULO!$M$15:$M$22=EVENTOS!$C15)*(ORÇAMENTO!$X$15:'ORÇAMENTO'!$X$22)),2))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IF(AUTOEVENTO="Manual",ROUND(SUMPRODUCT((CÁLCULO!$M$15:$M$22=EVENTOS!$C16)*(OFFSET(CÁLCULO!$AA$15:$AA$22,0,E$13))),2),0)</f>
        <v>0</v>
      </c>
      <c r="F16" s="183">
        <f ca="1">IF(AUTOEVENTO="Manual",ROUND(SUMPRODUCT((CÁLCULO!$M$15:$M$22=EVENTOS!$C16)*(OFFSET(CÁLCULO!$AA$15,0,1):OFFSET(CÁLCULO!$AL$22,0,-1))),2),0)</f>
        <v>0</v>
      </c>
      <c r="G16" s="621" t="str">
        <f t="shared" ref="G16:G47" ca="1" si="5">IF(AND(D16=0,F16&gt;0),"NOME",
 IF(AND(D16&lt;&gt;0,$F$14&gt;0,F16=0),"VALOR",
 IF(AND(Import.TipoArredondamento="TransfereGOV",$A16="F",LEN(D16)&gt;100),"Nome &gt;100","")))</f>
        <v/>
      </c>
      <c r="H16" s="620" cm="1">
        <f t="array" aca="1" ref="H16" ca="1">IF(AUTOEVENTO="Manual",ROUND(SUMPRODUCT((CÁLCULO!$M$15:$M$22=EVENTOS!$C16)*(OFFSET(CÁLCULO!$AA$15:$AA$22,0,H$13))),2),0)</f>
        <v>0</v>
      </c>
      <c r="I16" s="620" cm="1">
        <f t="array" aca="1" ref="I16" ca="1">IF(AUTOEVENTO="Manual",ROUND(SUMPRODUCT((CÁLCULO!$M$15:$M$22=EVENTOS!$C16)*(OFFSET(CÁLCULO!$AA$15:$AA$22,0,I$13))),2),0)</f>
        <v>0</v>
      </c>
      <c r="J16" s="620" cm="1">
        <f t="array" aca="1" ref="J16" ca="1">IF(AUTOEVENTO="Manual",ROUND(SUMPRODUCT((CÁLCULO!$M$15:$M$22=EVENTOS!$C16)*(OFFSET(CÁLCULO!$AA$15:$AA$22,0,J$13))),2),0)</f>
        <v>0</v>
      </c>
      <c r="K16" s="620" cm="1">
        <f t="array" aca="1" ref="K16" ca="1">IF(AUTOEVENTO="Manual",ROUND(SUMPRODUCT((CÁLCULO!$M$15:$M$22=EVENTOS!$C16)*(OFFSET(CÁLCULO!$AA$15:$AA$22,0,K$13))),2),0)</f>
        <v>0</v>
      </c>
      <c r="L16" s="620" cm="1">
        <f t="array" aca="1" ref="L16" ca="1">IF(AUTOEVENTO="Manual",ROUND(SUMPRODUCT((CÁLCULO!$M$15:$M$22=EVENTOS!$C16)*(OFFSET(CÁLCULO!$AA$15:$AA$22,0,L$13))),2),0)</f>
        <v>0</v>
      </c>
      <c r="M16" s="620" cm="1">
        <f t="array" aca="1" ref="M16" ca="1">IF(AUTOEVENTO="Manual",ROUND(SUMPRODUCT((CÁLCULO!$M$15:$M$22=EVENTOS!$C16)*(OFFSET(CÁLCULO!$AA$15:$AA$22,0,M$13))),2),0)</f>
        <v>0</v>
      </c>
      <c r="N16" s="620" cm="1">
        <f t="array" aca="1" ref="N16" ca="1">IF(AUTOEVENTO="Manual",ROUND(SUMPRODUCT((CÁLCULO!$M$15:$M$22=EVENTOS!$C16)*(OFFSET(CÁLCULO!$AA$15:$AA$22,0,N$13))),2),0)</f>
        <v>0</v>
      </c>
      <c r="O16" s="620" cm="1">
        <f t="array" aca="1" ref="O16" ca="1">IF(AUTOEVENTO="Manual",ROUND(SUMPRODUCT((CÁLCULO!$M$15:$M$22=EVENTOS!$C16)*(OFFSET(CÁLCULO!$AA$15:$AA$22,0,O$13))),2),0)</f>
        <v>0</v>
      </c>
      <c r="P16" s="620" cm="1">
        <f t="array" aca="1" ref="P16" ca="1">IF(AUTOEVENTO="Manual",ROUND(SUMPRODUCT((CÁLCULO!$M$15:$M$22=EVENTOS!$C16)*(OFFSET(CÁLCULO!$AA$15:$AA$22,0,P$13))),2),0)</f>
        <v>0</v>
      </c>
      <c r="Q16" s="620" cm="1">
        <f t="array" aca="1" ref="Q16" ca="1">IF(AUTOEVENTO="Manual",ROUND(SUMPRODUCT((CÁLCULO!$M$15:$M$22=EVENTOS!$C16)*(OFFSET(CÁLCULO!$AA$15:$AA$22,0,Q$13))),2),0)</f>
        <v>0</v>
      </c>
      <c r="R16" s="620" cm="1">
        <f t="array" aca="1" ref="R16" ca="1">IF(AUTOEVENTO="Manual",ROUND(SUMPRODUCT((CÁLCULO!$M$15:$M$22=EVENTOS!$C16)*(OFFSET(CÁLCULO!$AA$15:$AA$22,0,R$13))),2),0)</f>
        <v>0</v>
      </c>
      <c r="S16" s="620" cm="1">
        <f t="array" aca="1" ref="S16" ca="1">IF(AUTOEVENTO="Manual",ROUND(SUMPRODUCT((CÁLCULO!$M$15:$M$22=EVENTOS!$C16)*(OFFSET(CÁLCULO!$AA$15:$AA$22,0,S$13))),2),0)</f>
        <v>0</v>
      </c>
      <c r="T16" s="620" cm="1">
        <f t="array" aca="1" ref="T16" ca="1">IF(AUTOEVENTO="Manual",ROUND(SUMPRODUCT((CÁLCULO!$M$15:$M$22=EVENTOS!$C16)*(OFFSET(CÁLCULO!$AA$15:$AA$22,0,T$13))),2),0)</f>
        <v>0</v>
      </c>
      <c r="U16" s="620" cm="1">
        <f t="array" aca="1" ref="U16" ca="1">IF(AUTOEVENTO="Manual",ROUND(SUMPRODUCT((CÁLCULO!$M$15:$M$22=EVENTOS!$C16)*(OFFSET(CÁLCULO!$AA$15:$AA$22,0,U$13))),2),0)</f>
        <v>0</v>
      </c>
      <c r="V16" s="620" cm="1">
        <f t="array" aca="1" ref="V16" ca="1">IF(AUTOEVENTO="Manual",ROUND(SUMPRODUCT((CÁLCULO!$M$15:$M$22=EVENTOS!$C16)*(OFFSET(CÁLCULO!$AA$15:$AA$22,0,V$13))),2),0)</f>
        <v>0</v>
      </c>
      <c r="W16" s="620" cm="1">
        <f t="array" aca="1" ref="W16" ca="1">IF(AUTOEVENTO="Manual",ROUND(SUMPRODUCT((CÁLCULO!$M$15:$M$22=EVENTOS!$C16)*(OFFSET(CÁLCULO!$AA$15:$AA$22,0,W$13))),2),0)</f>
        <v>0</v>
      </c>
      <c r="X16" s="620" cm="1">
        <f t="array" aca="1" ref="X16" ca="1">IF(AUTOEVENTO="Manual",ROUND(SUMPRODUCT((CÁLCULO!$M$15:$M$22=EVENTOS!$C16)*(OFFSET(CÁLCULO!$AA$15:$AA$22,0,X$13))),2),0)</f>
        <v>0</v>
      </c>
      <c r="Y16" s="620" cm="1">
        <f t="array" aca="1" ref="Y16" ca="1">IF(AUTOEVENTO="Manual",ROUND(SUMPRODUCT((CÁLCULO!$M$15:$M$22=EVENTOS!$C16)*(OFFSET(CÁLCULO!$AA$15:$AA$22,0,Y$13))),2),0)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IF(AUTOEVENTO="Manual",ROUND(SUMPRODUCT((CÁLCULO!$M$15:$M$22=EVENTOS!$C17)*(OFFSET(CÁLCULO!$AA$15:$AA$22,0,E$13))),2),0)</f>
        <v>0</v>
      </c>
      <c r="F17" s="183">
        <f ca="1">IF(AUTOEVENTO="Manual",ROUND(SUMPRODUCT((CÁLCULO!$M$15:$M$22=EVENTOS!$C17)*(OFFSET(CÁLCULO!$AA$15,0,1):OFFSET(CÁLCULO!$AL$22,0,-1))),2),0)</f>
        <v>0</v>
      </c>
      <c r="G17" s="621" t="str">
        <f t="shared" ca="1" si="5"/>
        <v/>
      </c>
      <c r="H17" s="620" cm="1">
        <f t="array" aca="1" ref="H17" ca="1">IF(AUTOEVENTO="Manual",ROUND(SUMPRODUCT((CÁLCULO!$M$15:$M$22=EVENTOS!$C17)*(OFFSET(CÁLCULO!$AA$15:$AA$22,0,H$13))),2),0)</f>
        <v>0</v>
      </c>
      <c r="I17" s="620" cm="1">
        <f t="array" aca="1" ref="I17" ca="1">IF(AUTOEVENTO="Manual",ROUND(SUMPRODUCT((CÁLCULO!$M$15:$M$22=EVENTOS!$C17)*(OFFSET(CÁLCULO!$AA$15:$AA$22,0,I$13))),2),0)</f>
        <v>0</v>
      </c>
      <c r="J17" s="620" cm="1">
        <f t="array" aca="1" ref="J17" ca="1">IF(AUTOEVENTO="Manual",ROUND(SUMPRODUCT((CÁLCULO!$M$15:$M$22=EVENTOS!$C17)*(OFFSET(CÁLCULO!$AA$15:$AA$22,0,J$13))),2),0)</f>
        <v>0</v>
      </c>
      <c r="K17" s="620" cm="1">
        <f t="array" aca="1" ref="K17" ca="1">IF(AUTOEVENTO="Manual",ROUND(SUMPRODUCT((CÁLCULO!$M$15:$M$22=EVENTOS!$C17)*(OFFSET(CÁLCULO!$AA$15:$AA$22,0,K$13))),2),0)</f>
        <v>0</v>
      </c>
      <c r="L17" s="620" cm="1">
        <f t="array" aca="1" ref="L17" ca="1">IF(AUTOEVENTO="Manual",ROUND(SUMPRODUCT((CÁLCULO!$M$15:$M$22=EVENTOS!$C17)*(OFFSET(CÁLCULO!$AA$15:$AA$22,0,L$13))),2),0)</f>
        <v>0</v>
      </c>
      <c r="M17" s="620" cm="1">
        <f t="array" aca="1" ref="M17" ca="1">IF(AUTOEVENTO="Manual",ROUND(SUMPRODUCT((CÁLCULO!$M$15:$M$22=EVENTOS!$C17)*(OFFSET(CÁLCULO!$AA$15:$AA$22,0,M$13))),2),0)</f>
        <v>0</v>
      </c>
      <c r="N17" s="620" cm="1">
        <f t="array" aca="1" ref="N17" ca="1">IF(AUTOEVENTO="Manual",ROUND(SUMPRODUCT((CÁLCULO!$M$15:$M$22=EVENTOS!$C17)*(OFFSET(CÁLCULO!$AA$15:$AA$22,0,N$13))),2),0)</f>
        <v>0</v>
      </c>
      <c r="O17" s="620" cm="1">
        <f t="array" aca="1" ref="O17" ca="1">IF(AUTOEVENTO="Manual",ROUND(SUMPRODUCT((CÁLCULO!$M$15:$M$22=EVENTOS!$C17)*(OFFSET(CÁLCULO!$AA$15:$AA$22,0,O$13))),2),0)</f>
        <v>0</v>
      </c>
      <c r="P17" s="620" cm="1">
        <f t="array" aca="1" ref="P17" ca="1">IF(AUTOEVENTO="Manual",ROUND(SUMPRODUCT((CÁLCULO!$M$15:$M$22=EVENTOS!$C17)*(OFFSET(CÁLCULO!$AA$15:$AA$22,0,P$13))),2),0)</f>
        <v>0</v>
      </c>
      <c r="Q17" s="620" cm="1">
        <f t="array" aca="1" ref="Q17" ca="1">IF(AUTOEVENTO="Manual",ROUND(SUMPRODUCT((CÁLCULO!$M$15:$M$22=EVENTOS!$C17)*(OFFSET(CÁLCULO!$AA$15:$AA$22,0,Q$13))),2),0)</f>
        <v>0</v>
      </c>
      <c r="R17" s="620" cm="1">
        <f t="array" aca="1" ref="R17" ca="1">IF(AUTOEVENTO="Manual",ROUND(SUMPRODUCT((CÁLCULO!$M$15:$M$22=EVENTOS!$C17)*(OFFSET(CÁLCULO!$AA$15:$AA$22,0,R$13))),2),0)</f>
        <v>0</v>
      </c>
      <c r="S17" s="620" cm="1">
        <f t="array" aca="1" ref="S17" ca="1">IF(AUTOEVENTO="Manual",ROUND(SUMPRODUCT((CÁLCULO!$M$15:$M$22=EVENTOS!$C17)*(OFFSET(CÁLCULO!$AA$15:$AA$22,0,S$13))),2),0)</f>
        <v>0</v>
      </c>
      <c r="T17" s="620" cm="1">
        <f t="array" aca="1" ref="T17" ca="1">IF(AUTOEVENTO="Manual",ROUND(SUMPRODUCT((CÁLCULO!$M$15:$M$22=EVENTOS!$C17)*(OFFSET(CÁLCULO!$AA$15:$AA$22,0,T$13))),2),0)</f>
        <v>0</v>
      </c>
      <c r="U17" s="620" cm="1">
        <f t="array" aca="1" ref="U17" ca="1">IF(AUTOEVENTO="Manual",ROUND(SUMPRODUCT((CÁLCULO!$M$15:$M$22=EVENTOS!$C17)*(OFFSET(CÁLCULO!$AA$15:$AA$22,0,U$13))),2),0)</f>
        <v>0</v>
      </c>
      <c r="V17" s="620" cm="1">
        <f t="array" aca="1" ref="V17" ca="1">IF(AUTOEVENTO="Manual",ROUND(SUMPRODUCT((CÁLCULO!$M$15:$M$22=EVENTOS!$C17)*(OFFSET(CÁLCULO!$AA$15:$AA$22,0,V$13))),2),0)</f>
        <v>0</v>
      </c>
      <c r="W17" s="620" cm="1">
        <f t="array" aca="1" ref="W17" ca="1">IF(AUTOEVENTO="Manual",ROUND(SUMPRODUCT((CÁLCULO!$M$15:$M$22=EVENTOS!$C17)*(OFFSET(CÁLCULO!$AA$15:$AA$22,0,W$13))),2),0)</f>
        <v>0</v>
      </c>
      <c r="X17" s="620" cm="1">
        <f t="array" aca="1" ref="X17" ca="1">IF(AUTOEVENTO="Manual",ROUND(SUMPRODUCT((CÁLCULO!$M$15:$M$22=EVENTOS!$C17)*(OFFSET(CÁLCULO!$AA$15:$AA$22,0,X$13))),2),0)</f>
        <v>0</v>
      </c>
      <c r="Y17" s="620" cm="1">
        <f t="array" aca="1" ref="Y17" ca="1">IF(AUTOEVENTO="Manual",ROUND(SUMPRODUCT((CÁLCULO!$M$15:$M$22=EVENTOS!$C17)*(OFFSET(CÁLCULO!$AA$15:$AA$22,0,Y$13))),2),0)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IF(AUTOEVENTO="Manual",ROUND(SUMPRODUCT((CÁLCULO!$M$15:$M$22=EVENTOS!$C18)*(OFFSET(CÁLCULO!$AA$15:$AA$22,0,E$13))),2),0)</f>
        <v>0</v>
      </c>
      <c r="F18" s="183">
        <f ca="1">IF(AUTOEVENTO="Manual",ROUND(SUMPRODUCT((CÁLCULO!$M$15:$M$22=EVENTOS!$C18)*(OFFSET(CÁLCULO!$AA$15,0,1):OFFSET(CÁLCULO!$AL$22,0,-1))),2),0)</f>
        <v>0</v>
      </c>
      <c r="G18" s="621" t="str">
        <f t="shared" ca="1" si="5"/>
        <v/>
      </c>
      <c r="H18" s="620" cm="1">
        <f t="array" aca="1" ref="H18" ca="1">IF(AUTOEVENTO="Manual",ROUND(SUMPRODUCT((CÁLCULO!$M$15:$M$22=EVENTOS!$C18)*(OFFSET(CÁLCULO!$AA$15:$AA$22,0,H$13))),2),0)</f>
        <v>0</v>
      </c>
      <c r="I18" s="620" cm="1">
        <f t="array" aca="1" ref="I18" ca="1">IF(AUTOEVENTO="Manual",ROUND(SUMPRODUCT((CÁLCULO!$M$15:$M$22=EVENTOS!$C18)*(OFFSET(CÁLCULO!$AA$15:$AA$22,0,I$13))),2),0)</f>
        <v>0</v>
      </c>
      <c r="J18" s="620" cm="1">
        <f t="array" aca="1" ref="J18" ca="1">IF(AUTOEVENTO="Manual",ROUND(SUMPRODUCT((CÁLCULO!$M$15:$M$22=EVENTOS!$C18)*(OFFSET(CÁLCULO!$AA$15:$AA$22,0,J$13))),2),0)</f>
        <v>0</v>
      </c>
      <c r="K18" s="620" cm="1">
        <f t="array" aca="1" ref="K18" ca="1">IF(AUTOEVENTO="Manual",ROUND(SUMPRODUCT((CÁLCULO!$M$15:$M$22=EVENTOS!$C18)*(OFFSET(CÁLCULO!$AA$15:$AA$22,0,K$13))),2),0)</f>
        <v>0</v>
      </c>
      <c r="L18" s="620" cm="1">
        <f t="array" aca="1" ref="L18" ca="1">IF(AUTOEVENTO="Manual",ROUND(SUMPRODUCT((CÁLCULO!$M$15:$M$22=EVENTOS!$C18)*(OFFSET(CÁLCULO!$AA$15:$AA$22,0,L$13))),2),0)</f>
        <v>0</v>
      </c>
      <c r="M18" s="620" cm="1">
        <f t="array" aca="1" ref="M18" ca="1">IF(AUTOEVENTO="Manual",ROUND(SUMPRODUCT((CÁLCULO!$M$15:$M$22=EVENTOS!$C18)*(OFFSET(CÁLCULO!$AA$15:$AA$22,0,M$13))),2),0)</f>
        <v>0</v>
      </c>
      <c r="N18" s="620" cm="1">
        <f t="array" aca="1" ref="N18" ca="1">IF(AUTOEVENTO="Manual",ROUND(SUMPRODUCT((CÁLCULO!$M$15:$M$22=EVENTOS!$C18)*(OFFSET(CÁLCULO!$AA$15:$AA$22,0,N$13))),2),0)</f>
        <v>0</v>
      </c>
      <c r="O18" s="620" cm="1">
        <f t="array" aca="1" ref="O18" ca="1">IF(AUTOEVENTO="Manual",ROUND(SUMPRODUCT((CÁLCULO!$M$15:$M$22=EVENTOS!$C18)*(OFFSET(CÁLCULO!$AA$15:$AA$22,0,O$13))),2),0)</f>
        <v>0</v>
      </c>
      <c r="P18" s="620" cm="1">
        <f t="array" aca="1" ref="P18" ca="1">IF(AUTOEVENTO="Manual",ROUND(SUMPRODUCT((CÁLCULO!$M$15:$M$22=EVENTOS!$C18)*(OFFSET(CÁLCULO!$AA$15:$AA$22,0,P$13))),2),0)</f>
        <v>0</v>
      </c>
      <c r="Q18" s="620" cm="1">
        <f t="array" aca="1" ref="Q18" ca="1">IF(AUTOEVENTO="Manual",ROUND(SUMPRODUCT((CÁLCULO!$M$15:$M$22=EVENTOS!$C18)*(OFFSET(CÁLCULO!$AA$15:$AA$22,0,Q$13))),2),0)</f>
        <v>0</v>
      </c>
      <c r="R18" s="620" cm="1">
        <f t="array" aca="1" ref="R18" ca="1">IF(AUTOEVENTO="Manual",ROUND(SUMPRODUCT((CÁLCULO!$M$15:$M$22=EVENTOS!$C18)*(OFFSET(CÁLCULO!$AA$15:$AA$22,0,R$13))),2),0)</f>
        <v>0</v>
      </c>
      <c r="S18" s="620" cm="1">
        <f t="array" aca="1" ref="S18" ca="1">IF(AUTOEVENTO="Manual",ROUND(SUMPRODUCT((CÁLCULO!$M$15:$M$22=EVENTOS!$C18)*(OFFSET(CÁLCULO!$AA$15:$AA$22,0,S$13))),2),0)</f>
        <v>0</v>
      </c>
      <c r="T18" s="620" cm="1">
        <f t="array" aca="1" ref="T18" ca="1">IF(AUTOEVENTO="Manual",ROUND(SUMPRODUCT((CÁLCULO!$M$15:$M$22=EVENTOS!$C18)*(OFFSET(CÁLCULO!$AA$15:$AA$22,0,T$13))),2),0)</f>
        <v>0</v>
      </c>
      <c r="U18" s="620" cm="1">
        <f t="array" aca="1" ref="U18" ca="1">IF(AUTOEVENTO="Manual",ROUND(SUMPRODUCT((CÁLCULO!$M$15:$M$22=EVENTOS!$C18)*(OFFSET(CÁLCULO!$AA$15:$AA$22,0,U$13))),2),0)</f>
        <v>0</v>
      </c>
      <c r="V18" s="620" cm="1">
        <f t="array" aca="1" ref="V18" ca="1">IF(AUTOEVENTO="Manual",ROUND(SUMPRODUCT((CÁLCULO!$M$15:$M$22=EVENTOS!$C18)*(OFFSET(CÁLCULO!$AA$15:$AA$22,0,V$13))),2),0)</f>
        <v>0</v>
      </c>
      <c r="W18" s="620" cm="1">
        <f t="array" aca="1" ref="W18" ca="1">IF(AUTOEVENTO="Manual",ROUND(SUMPRODUCT((CÁLCULO!$M$15:$M$22=EVENTOS!$C18)*(OFFSET(CÁLCULO!$AA$15:$AA$22,0,W$13))),2),0)</f>
        <v>0</v>
      </c>
      <c r="X18" s="620" cm="1">
        <f t="array" aca="1" ref="X18" ca="1">IF(AUTOEVENTO="Manual",ROUND(SUMPRODUCT((CÁLCULO!$M$15:$M$22=EVENTOS!$C18)*(OFFSET(CÁLCULO!$AA$15:$AA$22,0,X$13))),2),0)</f>
        <v>0</v>
      </c>
      <c r="Y18" s="620" cm="1">
        <f t="array" aca="1" ref="Y18" ca="1">IF(AUTOEVENTO="Manual",ROUND(SUMPRODUCT((CÁLCULO!$M$15:$M$22=EVENTOS!$C18)*(OFFSET(CÁLCULO!$AA$15:$AA$22,0,Y$13))),2),0)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IF(AUTOEVENTO="Manual",ROUND(SUMPRODUCT((CÁLCULO!$M$15:$M$22=EVENTOS!$C19)*(OFFSET(CÁLCULO!$AA$15:$AA$22,0,E$13))),2),0)</f>
        <v>0</v>
      </c>
      <c r="F19" s="183">
        <f ca="1">IF(AUTOEVENTO="Manual",ROUND(SUMPRODUCT((CÁLCULO!$M$15:$M$22=EVENTOS!$C19)*(OFFSET(CÁLCULO!$AA$15,0,1):OFFSET(CÁLCULO!$AL$22,0,-1))),2),0)</f>
        <v>0</v>
      </c>
      <c r="G19" s="621" t="str">
        <f t="shared" ca="1" si="5"/>
        <v/>
      </c>
      <c r="H19" s="620" cm="1">
        <f t="array" aca="1" ref="H19" ca="1">IF(AUTOEVENTO="Manual",ROUND(SUMPRODUCT((CÁLCULO!$M$15:$M$22=EVENTOS!$C19)*(OFFSET(CÁLCULO!$AA$15:$AA$22,0,H$13))),2),0)</f>
        <v>0</v>
      </c>
      <c r="I19" s="620" cm="1">
        <f t="array" aca="1" ref="I19" ca="1">IF(AUTOEVENTO="Manual",ROUND(SUMPRODUCT((CÁLCULO!$M$15:$M$22=EVENTOS!$C19)*(OFFSET(CÁLCULO!$AA$15:$AA$22,0,I$13))),2),0)</f>
        <v>0</v>
      </c>
      <c r="J19" s="620" cm="1">
        <f t="array" aca="1" ref="J19" ca="1">IF(AUTOEVENTO="Manual",ROUND(SUMPRODUCT((CÁLCULO!$M$15:$M$22=EVENTOS!$C19)*(OFFSET(CÁLCULO!$AA$15:$AA$22,0,J$13))),2),0)</f>
        <v>0</v>
      </c>
      <c r="K19" s="620" cm="1">
        <f t="array" aca="1" ref="K19" ca="1">IF(AUTOEVENTO="Manual",ROUND(SUMPRODUCT((CÁLCULO!$M$15:$M$22=EVENTOS!$C19)*(OFFSET(CÁLCULO!$AA$15:$AA$22,0,K$13))),2),0)</f>
        <v>0</v>
      </c>
      <c r="L19" s="620" cm="1">
        <f t="array" aca="1" ref="L19" ca="1">IF(AUTOEVENTO="Manual",ROUND(SUMPRODUCT((CÁLCULO!$M$15:$M$22=EVENTOS!$C19)*(OFFSET(CÁLCULO!$AA$15:$AA$22,0,L$13))),2),0)</f>
        <v>0</v>
      </c>
      <c r="M19" s="620" cm="1">
        <f t="array" aca="1" ref="M19" ca="1">IF(AUTOEVENTO="Manual",ROUND(SUMPRODUCT((CÁLCULO!$M$15:$M$22=EVENTOS!$C19)*(OFFSET(CÁLCULO!$AA$15:$AA$22,0,M$13))),2),0)</f>
        <v>0</v>
      </c>
      <c r="N19" s="620" cm="1">
        <f t="array" aca="1" ref="N19" ca="1">IF(AUTOEVENTO="Manual",ROUND(SUMPRODUCT((CÁLCULO!$M$15:$M$22=EVENTOS!$C19)*(OFFSET(CÁLCULO!$AA$15:$AA$22,0,N$13))),2),0)</f>
        <v>0</v>
      </c>
      <c r="O19" s="620" cm="1">
        <f t="array" aca="1" ref="O19" ca="1">IF(AUTOEVENTO="Manual",ROUND(SUMPRODUCT((CÁLCULO!$M$15:$M$22=EVENTOS!$C19)*(OFFSET(CÁLCULO!$AA$15:$AA$22,0,O$13))),2),0)</f>
        <v>0</v>
      </c>
      <c r="P19" s="620" cm="1">
        <f t="array" aca="1" ref="P19" ca="1">IF(AUTOEVENTO="Manual",ROUND(SUMPRODUCT((CÁLCULO!$M$15:$M$22=EVENTOS!$C19)*(OFFSET(CÁLCULO!$AA$15:$AA$22,0,P$13))),2),0)</f>
        <v>0</v>
      </c>
      <c r="Q19" s="620" cm="1">
        <f t="array" aca="1" ref="Q19" ca="1">IF(AUTOEVENTO="Manual",ROUND(SUMPRODUCT((CÁLCULO!$M$15:$M$22=EVENTOS!$C19)*(OFFSET(CÁLCULO!$AA$15:$AA$22,0,Q$13))),2),0)</f>
        <v>0</v>
      </c>
      <c r="R19" s="620" cm="1">
        <f t="array" aca="1" ref="R19" ca="1">IF(AUTOEVENTO="Manual",ROUND(SUMPRODUCT((CÁLCULO!$M$15:$M$22=EVENTOS!$C19)*(OFFSET(CÁLCULO!$AA$15:$AA$22,0,R$13))),2),0)</f>
        <v>0</v>
      </c>
      <c r="S19" s="620" cm="1">
        <f t="array" aca="1" ref="S19" ca="1">IF(AUTOEVENTO="Manual",ROUND(SUMPRODUCT((CÁLCULO!$M$15:$M$22=EVENTOS!$C19)*(OFFSET(CÁLCULO!$AA$15:$AA$22,0,S$13))),2),0)</f>
        <v>0</v>
      </c>
      <c r="T19" s="620" cm="1">
        <f t="array" aca="1" ref="T19" ca="1">IF(AUTOEVENTO="Manual",ROUND(SUMPRODUCT((CÁLCULO!$M$15:$M$22=EVENTOS!$C19)*(OFFSET(CÁLCULO!$AA$15:$AA$22,0,T$13))),2),0)</f>
        <v>0</v>
      </c>
      <c r="U19" s="620" cm="1">
        <f t="array" aca="1" ref="U19" ca="1">IF(AUTOEVENTO="Manual",ROUND(SUMPRODUCT((CÁLCULO!$M$15:$M$22=EVENTOS!$C19)*(OFFSET(CÁLCULO!$AA$15:$AA$22,0,U$13))),2),0)</f>
        <v>0</v>
      </c>
      <c r="V19" s="620" cm="1">
        <f t="array" aca="1" ref="V19" ca="1">IF(AUTOEVENTO="Manual",ROUND(SUMPRODUCT((CÁLCULO!$M$15:$M$22=EVENTOS!$C19)*(OFFSET(CÁLCULO!$AA$15:$AA$22,0,V$13))),2),0)</f>
        <v>0</v>
      </c>
      <c r="W19" s="620" cm="1">
        <f t="array" aca="1" ref="W19" ca="1">IF(AUTOEVENTO="Manual",ROUND(SUMPRODUCT((CÁLCULO!$M$15:$M$22=EVENTOS!$C19)*(OFFSET(CÁLCULO!$AA$15:$AA$22,0,W$13))),2),0)</f>
        <v>0</v>
      </c>
      <c r="X19" s="620" cm="1">
        <f t="array" aca="1" ref="X19" ca="1">IF(AUTOEVENTO="Manual",ROUND(SUMPRODUCT((CÁLCULO!$M$15:$M$22=EVENTOS!$C19)*(OFFSET(CÁLCULO!$AA$15:$AA$22,0,X$13))),2),0)</f>
        <v>0</v>
      </c>
      <c r="Y19" s="620" cm="1">
        <f t="array" aca="1" ref="Y19" ca="1">IF(AUTOEVENTO="Manual",ROUND(SUMPRODUCT((CÁLCULO!$M$15:$M$22=EVENTOS!$C19)*(OFFSET(CÁLCULO!$AA$15:$AA$22,0,Y$13))),2),0)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IF(AUTOEVENTO="Manual",ROUND(SUMPRODUCT((CÁLCULO!$M$15:$M$22=EVENTOS!$C20)*(OFFSET(CÁLCULO!$AA$15:$AA$22,0,E$13))),2),0)</f>
        <v>0</v>
      </c>
      <c r="F20" s="183">
        <f ca="1">IF(AUTOEVENTO="Manual",ROUND(SUMPRODUCT((CÁLCULO!$M$15:$M$22=EVENTOS!$C20)*(OFFSET(CÁLCULO!$AA$15,0,1):OFFSET(CÁLCULO!$AL$22,0,-1))),2),0)</f>
        <v>0</v>
      </c>
      <c r="G20" s="621" t="str">
        <f t="shared" ca="1" si="5"/>
        <v/>
      </c>
      <c r="H20" s="620" cm="1">
        <f t="array" aca="1" ref="H20" ca="1">IF(AUTOEVENTO="Manual",ROUND(SUMPRODUCT((CÁLCULO!$M$15:$M$22=EVENTOS!$C20)*(OFFSET(CÁLCULO!$AA$15:$AA$22,0,H$13))),2),0)</f>
        <v>0</v>
      </c>
      <c r="I20" s="620" cm="1">
        <f t="array" aca="1" ref="I20" ca="1">IF(AUTOEVENTO="Manual",ROUND(SUMPRODUCT((CÁLCULO!$M$15:$M$22=EVENTOS!$C20)*(OFFSET(CÁLCULO!$AA$15:$AA$22,0,I$13))),2),0)</f>
        <v>0</v>
      </c>
      <c r="J20" s="620" cm="1">
        <f t="array" aca="1" ref="J20" ca="1">IF(AUTOEVENTO="Manual",ROUND(SUMPRODUCT((CÁLCULO!$M$15:$M$22=EVENTOS!$C20)*(OFFSET(CÁLCULO!$AA$15:$AA$22,0,J$13))),2),0)</f>
        <v>0</v>
      </c>
      <c r="K20" s="620" cm="1">
        <f t="array" aca="1" ref="K20" ca="1">IF(AUTOEVENTO="Manual",ROUND(SUMPRODUCT((CÁLCULO!$M$15:$M$22=EVENTOS!$C20)*(OFFSET(CÁLCULO!$AA$15:$AA$22,0,K$13))),2),0)</f>
        <v>0</v>
      </c>
      <c r="L20" s="620" cm="1">
        <f t="array" aca="1" ref="L20" ca="1">IF(AUTOEVENTO="Manual",ROUND(SUMPRODUCT((CÁLCULO!$M$15:$M$22=EVENTOS!$C20)*(OFFSET(CÁLCULO!$AA$15:$AA$22,0,L$13))),2),0)</f>
        <v>0</v>
      </c>
      <c r="M20" s="620" cm="1">
        <f t="array" aca="1" ref="M20" ca="1">IF(AUTOEVENTO="Manual",ROUND(SUMPRODUCT((CÁLCULO!$M$15:$M$22=EVENTOS!$C20)*(OFFSET(CÁLCULO!$AA$15:$AA$22,0,M$13))),2),0)</f>
        <v>0</v>
      </c>
      <c r="N20" s="620" cm="1">
        <f t="array" aca="1" ref="N20" ca="1">IF(AUTOEVENTO="Manual",ROUND(SUMPRODUCT((CÁLCULO!$M$15:$M$22=EVENTOS!$C20)*(OFFSET(CÁLCULO!$AA$15:$AA$22,0,N$13))),2),0)</f>
        <v>0</v>
      </c>
      <c r="O20" s="620" cm="1">
        <f t="array" aca="1" ref="O20" ca="1">IF(AUTOEVENTO="Manual",ROUND(SUMPRODUCT((CÁLCULO!$M$15:$M$22=EVENTOS!$C20)*(OFFSET(CÁLCULO!$AA$15:$AA$22,0,O$13))),2),0)</f>
        <v>0</v>
      </c>
      <c r="P20" s="620" cm="1">
        <f t="array" aca="1" ref="P20" ca="1">IF(AUTOEVENTO="Manual",ROUND(SUMPRODUCT((CÁLCULO!$M$15:$M$22=EVENTOS!$C20)*(OFFSET(CÁLCULO!$AA$15:$AA$22,0,P$13))),2),0)</f>
        <v>0</v>
      </c>
      <c r="Q20" s="620" cm="1">
        <f t="array" aca="1" ref="Q20" ca="1">IF(AUTOEVENTO="Manual",ROUND(SUMPRODUCT((CÁLCULO!$M$15:$M$22=EVENTOS!$C20)*(OFFSET(CÁLCULO!$AA$15:$AA$22,0,Q$13))),2),0)</f>
        <v>0</v>
      </c>
      <c r="R20" s="620" cm="1">
        <f t="array" aca="1" ref="R20" ca="1">IF(AUTOEVENTO="Manual",ROUND(SUMPRODUCT((CÁLCULO!$M$15:$M$22=EVENTOS!$C20)*(OFFSET(CÁLCULO!$AA$15:$AA$22,0,R$13))),2),0)</f>
        <v>0</v>
      </c>
      <c r="S20" s="620" cm="1">
        <f t="array" aca="1" ref="S20" ca="1">IF(AUTOEVENTO="Manual",ROUND(SUMPRODUCT((CÁLCULO!$M$15:$M$22=EVENTOS!$C20)*(OFFSET(CÁLCULO!$AA$15:$AA$22,0,S$13))),2),0)</f>
        <v>0</v>
      </c>
      <c r="T20" s="620" cm="1">
        <f t="array" aca="1" ref="T20" ca="1">IF(AUTOEVENTO="Manual",ROUND(SUMPRODUCT((CÁLCULO!$M$15:$M$22=EVENTOS!$C20)*(OFFSET(CÁLCULO!$AA$15:$AA$22,0,T$13))),2),0)</f>
        <v>0</v>
      </c>
      <c r="U20" s="620" cm="1">
        <f t="array" aca="1" ref="U20" ca="1">IF(AUTOEVENTO="Manual",ROUND(SUMPRODUCT((CÁLCULO!$M$15:$M$22=EVENTOS!$C20)*(OFFSET(CÁLCULO!$AA$15:$AA$22,0,U$13))),2),0)</f>
        <v>0</v>
      </c>
      <c r="V20" s="620" cm="1">
        <f t="array" aca="1" ref="V20" ca="1">IF(AUTOEVENTO="Manual",ROUND(SUMPRODUCT((CÁLCULO!$M$15:$M$22=EVENTOS!$C20)*(OFFSET(CÁLCULO!$AA$15:$AA$22,0,V$13))),2),0)</f>
        <v>0</v>
      </c>
      <c r="W20" s="620" cm="1">
        <f t="array" aca="1" ref="W20" ca="1">IF(AUTOEVENTO="Manual",ROUND(SUMPRODUCT((CÁLCULO!$M$15:$M$22=EVENTOS!$C20)*(OFFSET(CÁLCULO!$AA$15:$AA$22,0,W$13))),2),0)</f>
        <v>0</v>
      </c>
      <c r="X20" s="620" cm="1">
        <f t="array" aca="1" ref="X20" ca="1">IF(AUTOEVENTO="Manual",ROUND(SUMPRODUCT((CÁLCULO!$M$15:$M$22=EVENTOS!$C20)*(OFFSET(CÁLCULO!$AA$15:$AA$22,0,X$13))),2),0)</f>
        <v>0</v>
      </c>
      <c r="Y20" s="620" cm="1">
        <f t="array" aca="1" ref="Y20" ca="1">IF(AUTOEVENTO="Manual",ROUND(SUMPRODUCT((CÁLCULO!$M$15:$M$22=EVENTOS!$C20)*(OFFSET(CÁLCULO!$AA$15:$AA$22,0,Y$13))),2),0)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IF(AUTOEVENTO="Manual",ROUND(SUMPRODUCT((CÁLCULO!$M$15:$M$22=EVENTOS!$C21)*(OFFSET(CÁLCULO!$AA$15:$AA$22,0,E$13))),2),0)</f>
        <v>0</v>
      </c>
      <c r="F21" s="183">
        <f ca="1">IF(AUTOEVENTO="Manual",ROUND(SUMPRODUCT((CÁLCULO!$M$15:$M$22=EVENTOS!$C21)*(OFFSET(CÁLCULO!$AA$15,0,1):OFFSET(CÁLCULO!$AL$22,0,-1))),2),0)</f>
        <v>0</v>
      </c>
      <c r="G21" s="621" t="str">
        <f t="shared" ca="1" si="5"/>
        <v/>
      </c>
      <c r="H21" s="620" cm="1">
        <f t="array" aca="1" ref="H21" ca="1">IF(AUTOEVENTO="Manual",ROUND(SUMPRODUCT((CÁLCULO!$M$15:$M$22=EVENTOS!$C21)*(OFFSET(CÁLCULO!$AA$15:$AA$22,0,H$13))),2),0)</f>
        <v>0</v>
      </c>
      <c r="I21" s="620" cm="1">
        <f t="array" aca="1" ref="I21" ca="1">IF(AUTOEVENTO="Manual",ROUND(SUMPRODUCT((CÁLCULO!$M$15:$M$22=EVENTOS!$C21)*(OFFSET(CÁLCULO!$AA$15:$AA$22,0,I$13))),2),0)</f>
        <v>0</v>
      </c>
      <c r="J21" s="620" cm="1">
        <f t="array" aca="1" ref="J21" ca="1">IF(AUTOEVENTO="Manual",ROUND(SUMPRODUCT((CÁLCULO!$M$15:$M$22=EVENTOS!$C21)*(OFFSET(CÁLCULO!$AA$15:$AA$22,0,J$13))),2),0)</f>
        <v>0</v>
      </c>
      <c r="K21" s="620" cm="1">
        <f t="array" aca="1" ref="K21" ca="1">IF(AUTOEVENTO="Manual",ROUND(SUMPRODUCT((CÁLCULO!$M$15:$M$22=EVENTOS!$C21)*(OFFSET(CÁLCULO!$AA$15:$AA$22,0,K$13))),2),0)</f>
        <v>0</v>
      </c>
      <c r="L21" s="620" cm="1">
        <f t="array" aca="1" ref="L21" ca="1">IF(AUTOEVENTO="Manual",ROUND(SUMPRODUCT((CÁLCULO!$M$15:$M$22=EVENTOS!$C21)*(OFFSET(CÁLCULO!$AA$15:$AA$22,0,L$13))),2),0)</f>
        <v>0</v>
      </c>
      <c r="M21" s="620" cm="1">
        <f t="array" aca="1" ref="M21" ca="1">IF(AUTOEVENTO="Manual",ROUND(SUMPRODUCT((CÁLCULO!$M$15:$M$22=EVENTOS!$C21)*(OFFSET(CÁLCULO!$AA$15:$AA$22,0,M$13))),2),0)</f>
        <v>0</v>
      </c>
      <c r="N21" s="620" cm="1">
        <f t="array" aca="1" ref="N21" ca="1">IF(AUTOEVENTO="Manual",ROUND(SUMPRODUCT((CÁLCULO!$M$15:$M$22=EVENTOS!$C21)*(OFFSET(CÁLCULO!$AA$15:$AA$22,0,N$13))),2),0)</f>
        <v>0</v>
      </c>
      <c r="O21" s="620" cm="1">
        <f t="array" aca="1" ref="O21" ca="1">IF(AUTOEVENTO="Manual",ROUND(SUMPRODUCT((CÁLCULO!$M$15:$M$22=EVENTOS!$C21)*(OFFSET(CÁLCULO!$AA$15:$AA$22,0,O$13))),2),0)</f>
        <v>0</v>
      </c>
      <c r="P21" s="620" cm="1">
        <f t="array" aca="1" ref="P21" ca="1">IF(AUTOEVENTO="Manual",ROUND(SUMPRODUCT((CÁLCULO!$M$15:$M$22=EVENTOS!$C21)*(OFFSET(CÁLCULO!$AA$15:$AA$22,0,P$13))),2),0)</f>
        <v>0</v>
      </c>
      <c r="Q21" s="620" cm="1">
        <f t="array" aca="1" ref="Q21" ca="1">IF(AUTOEVENTO="Manual",ROUND(SUMPRODUCT((CÁLCULO!$M$15:$M$22=EVENTOS!$C21)*(OFFSET(CÁLCULO!$AA$15:$AA$22,0,Q$13))),2),0)</f>
        <v>0</v>
      </c>
      <c r="R21" s="620" cm="1">
        <f t="array" aca="1" ref="R21" ca="1">IF(AUTOEVENTO="Manual",ROUND(SUMPRODUCT((CÁLCULO!$M$15:$M$22=EVENTOS!$C21)*(OFFSET(CÁLCULO!$AA$15:$AA$22,0,R$13))),2),0)</f>
        <v>0</v>
      </c>
      <c r="S21" s="620" cm="1">
        <f t="array" aca="1" ref="S21" ca="1">IF(AUTOEVENTO="Manual",ROUND(SUMPRODUCT((CÁLCULO!$M$15:$M$22=EVENTOS!$C21)*(OFFSET(CÁLCULO!$AA$15:$AA$22,0,S$13))),2),0)</f>
        <v>0</v>
      </c>
      <c r="T21" s="620" cm="1">
        <f t="array" aca="1" ref="T21" ca="1">IF(AUTOEVENTO="Manual",ROUND(SUMPRODUCT((CÁLCULO!$M$15:$M$22=EVENTOS!$C21)*(OFFSET(CÁLCULO!$AA$15:$AA$22,0,T$13))),2),0)</f>
        <v>0</v>
      </c>
      <c r="U21" s="620" cm="1">
        <f t="array" aca="1" ref="U21" ca="1">IF(AUTOEVENTO="Manual",ROUND(SUMPRODUCT((CÁLCULO!$M$15:$M$22=EVENTOS!$C21)*(OFFSET(CÁLCULO!$AA$15:$AA$22,0,U$13))),2),0)</f>
        <v>0</v>
      </c>
      <c r="V21" s="620" cm="1">
        <f t="array" aca="1" ref="V21" ca="1">IF(AUTOEVENTO="Manual",ROUND(SUMPRODUCT((CÁLCULO!$M$15:$M$22=EVENTOS!$C21)*(OFFSET(CÁLCULO!$AA$15:$AA$22,0,V$13))),2),0)</f>
        <v>0</v>
      </c>
      <c r="W21" s="620" cm="1">
        <f t="array" aca="1" ref="W21" ca="1">IF(AUTOEVENTO="Manual",ROUND(SUMPRODUCT((CÁLCULO!$M$15:$M$22=EVENTOS!$C21)*(OFFSET(CÁLCULO!$AA$15:$AA$22,0,W$13))),2),0)</f>
        <v>0</v>
      </c>
      <c r="X21" s="620" cm="1">
        <f t="array" aca="1" ref="X21" ca="1">IF(AUTOEVENTO="Manual",ROUND(SUMPRODUCT((CÁLCULO!$M$15:$M$22=EVENTOS!$C21)*(OFFSET(CÁLCULO!$AA$15:$AA$22,0,X$13))),2),0)</f>
        <v>0</v>
      </c>
      <c r="Y21" s="620" cm="1">
        <f t="array" aca="1" ref="Y21" ca="1">IF(AUTOEVENTO="Manual",ROUND(SUMPRODUCT((CÁLCULO!$M$15:$M$22=EVENTOS!$C21)*(OFFSET(CÁLCULO!$AA$15:$AA$22,0,Y$13))),2),0)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IF(AUTOEVENTO="Manual",ROUND(SUMPRODUCT((CÁLCULO!$M$15:$M$22=EVENTOS!$C22)*(OFFSET(CÁLCULO!$AA$15:$AA$22,0,E$13))),2),0)</f>
        <v>0</v>
      </c>
      <c r="F22" s="183">
        <f ca="1">IF(AUTOEVENTO="Manual",ROUND(SUMPRODUCT((CÁLCULO!$M$15:$M$22=EVENTOS!$C22)*(OFFSET(CÁLCULO!$AA$15,0,1):OFFSET(CÁLCULO!$AL$22,0,-1))),2),0)</f>
        <v>0</v>
      </c>
      <c r="G22" s="621" t="str">
        <f t="shared" ca="1" si="5"/>
        <v/>
      </c>
      <c r="H22" s="620" cm="1">
        <f t="array" aca="1" ref="H22" ca="1">IF(AUTOEVENTO="Manual",ROUND(SUMPRODUCT((CÁLCULO!$M$15:$M$22=EVENTOS!$C22)*(OFFSET(CÁLCULO!$AA$15:$AA$22,0,H$13))),2),0)</f>
        <v>0</v>
      </c>
      <c r="I22" s="620" cm="1">
        <f t="array" aca="1" ref="I22" ca="1">IF(AUTOEVENTO="Manual",ROUND(SUMPRODUCT((CÁLCULO!$M$15:$M$22=EVENTOS!$C22)*(OFFSET(CÁLCULO!$AA$15:$AA$22,0,I$13))),2),0)</f>
        <v>0</v>
      </c>
      <c r="J22" s="620" cm="1">
        <f t="array" aca="1" ref="J22" ca="1">IF(AUTOEVENTO="Manual",ROUND(SUMPRODUCT((CÁLCULO!$M$15:$M$22=EVENTOS!$C22)*(OFFSET(CÁLCULO!$AA$15:$AA$22,0,J$13))),2),0)</f>
        <v>0</v>
      </c>
      <c r="K22" s="620" cm="1">
        <f t="array" aca="1" ref="K22" ca="1">IF(AUTOEVENTO="Manual",ROUND(SUMPRODUCT((CÁLCULO!$M$15:$M$22=EVENTOS!$C22)*(OFFSET(CÁLCULO!$AA$15:$AA$22,0,K$13))),2),0)</f>
        <v>0</v>
      </c>
      <c r="L22" s="620" cm="1">
        <f t="array" aca="1" ref="L22" ca="1">IF(AUTOEVENTO="Manual",ROUND(SUMPRODUCT((CÁLCULO!$M$15:$M$22=EVENTOS!$C22)*(OFFSET(CÁLCULO!$AA$15:$AA$22,0,L$13))),2),0)</f>
        <v>0</v>
      </c>
      <c r="M22" s="620" cm="1">
        <f t="array" aca="1" ref="M22" ca="1">IF(AUTOEVENTO="Manual",ROUND(SUMPRODUCT((CÁLCULO!$M$15:$M$22=EVENTOS!$C22)*(OFFSET(CÁLCULO!$AA$15:$AA$22,0,M$13))),2),0)</f>
        <v>0</v>
      </c>
      <c r="N22" s="620" cm="1">
        <f t="array" aca="1" ref="N22" ca="1">IF(AUTOEVENTO="Manual",ROUND(SUMPRODUCT((CÁLCULO!$M$15:$M$22=EVENTOS!$C22)*(OFFSET(CÁLCULO!$AA$15:$AA$22,0,N$13))),2),0)</f>
        <v>0</v>
      </c>
      <c r="O22" s="620" cm="1">
        <f t="array" aca="1" ref="O22" ca="1">IF(AUTOEVENTO="Manual",ROUND(SUMPRODUCT((CÁLCULO!$M$15:$M$22=EVENTOS!$C22)*(OFFSET(CÁLCULO!$AA$15:$AA$22,0,O$13))),2),0)</f>
        <v>0</v>
      </c>
      <c r="P22" s="620" cm="1">
        <f t="array" aca="1" ref="P22" ca="1">IF(AUTOEVENTO="Manual",ROUND(SUMPRODUCT((CÁLCULO!$M$15:$M$22=EVENTOS!$C22)*(OFFSET(CÁLCULO!$AA$15:$AA$22,0,P$13))),2),0)</f>
        <v>0</v>
      </c>
      <c r="Q22" s="620" cm="1">
        <f t="array" aca="1" ref="Q22" ca="1">IF(AUTOEVENTO="Manual",ROUND(SUMPRODUCT((CÁLCULO!$M$15:$M$22=EVENTOS!$C22)*(OFFSET(CÁLCULO!$AA$15:$AA$22,0,Q$13))),2),0)</f>
        <v>0</v>
      </c>
      <c r="R22" s="620" cm="1">
        <f t="array" aca="1" ref="R22" ca="1">IF(AUTOEVENTO="Manual",ROUND(SUMPRODUCT((CÁLCULO!$M$15:$M$22=EVENTOS!$C22)*(OFFSET(CÁLCULO!$AA$15:$AA$22,0,R$13))),2),0)</f>
        <v>0</v>
      </c>
      <c r="S22" s="620" cm="1">
        <f t="array" aca="1" ref="S22" ca="1">IF(AUTOEVENTO="Manual",ROUND(SUMPRODUCT((CÁLCULO!$M$15:$M$22=EVENTOS!$C22)*(OFFSET(CÁLCULO!$AA$15:$AA$22,0,S$13))),2),0)</f>
        <v>0</v>
      </c>
      <c r="T22" s="620" cm="1">
        <f t="array" aca="1" ref="T22" ca="1">IF(AUTOEVENTO="Manual",ROUND(SUMPRODUCT((CÁLCULO!$M$15:$M$22=EVENTOS!$C22)*(OFFSET(CÁLCULO!$AA$15:$AA$22,0,T$13))),2),0)</f>
        <v>0</v>
      </c>
      <c r="U22" s="620" cm="1">
        <f t="array" aca="1" ref="U22" ca="1">IF(AUTOEVENTO="Manual",ROUND(SUMPRODUCT((CÁLCULO!$M$15:$M$22=EVENTOS!$C22)*(OFFSET(CÁLCULO!$AA$15:$AA$22,0,U$13))),2),0)</f>
        <v>0</v>
      </c>
      <c r="V22" s="620" cm="1">
        <f t="array" aca="1" ref="V22" ca="1">IF(AUTOEVENTO="Manual",ROUND(SUMPRODUCT((CÁLCULO!$M$15:$M$22=EVENTOS!$C22)*(OFFSET(CÁLCULO!$AA$15:$AA$22,0,V$13))),2),0)</f>
        <v>0</v>
      </c>
      <c r="W22" s="620" cm="1">
        <f t="array" aca="1" ref="W22" ca="1">IF(AUTOEVENTO="Manual",ROUND(SUMPRODUCT((CÁLCULO!$M$15:$M$22=EVENTOS!$C22)*(OFFSET(CÁLCULO!$AA$15:$AA$22,0,W$13))),2),0)</f>
        <v>0</v>
      </c>
      <c r="X22" s="620" cm="1">
        <f t="array" aca="1" ref="X22" ca="1">IF(AUTOEVENTO="Manual",ROUND(SUMPRODUCT((CÁLCULO!$M$15:$M$22=EVENTOS!$C22)*(OFFSET(CÁLCULO!$AA$15:$AA$22,0,X$13))),2),0)</f>
        <v>0</v>
      </c>
      <c r="Y22" s="620" cm="1">
        <f t="array" aca="1" ref="Y22" ca="1">IF(AUTOEVENTO="Manual",ROUND(SUMPRODUCT((CÁLCULO!$M$15:$M$22=EVENTOS!$C22)*(OFFSET(CÁLCULO!$AA$15:$AA$22,0,Y$13))),2),0)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IF(AUTOEVENTO="Manual",ROUND(SUMPRODUCT((CÁLCULO!$M$15:$M$22=EVENTOS!$C23)*(OFFSET(CÁLCULO!$AA$15:$AA$22,0,E$13))),2),0)</f>
        <v>0</v>
      </c>
      <c r="F23" s="183">
        <f ca="1">IF(AUTOEVENTO="Manual",ROUND(SUMPRODUCT((CÁLCULO!$M$15:$M$22=EVENTOS!$C23)*(OFFSET(CÁLCULO!$AA$15,0,1):OFFSET(CÁLCULO!$AL$22,0,-1))),2),0)</f>
        <v>0</v>
      </c>
      <c r="G23" s="621" t="str">
        <f t="shared" ca="1" si="5"/>
        <v/>
      </c>
      <c r="H23" s="620" cm="1">
        <f t="array" aca="1" ref="H23" ca="1">IF(AUTOEVENTO="Manual",ROUND(SUMPRODUCT((CÁLCULO!$M$15:$M$22=EVENTOS!$C23)*(OFFSET(CÁLCULO!$AA$15:$AA$22,0,H$13))),2),0)</f>
        <v>0</v>
      </c>
      <c r="I23" s="620" cm="1">
        <f t="array" aca="1" ref="I23" ca="1">IF(AUTOEVENTO="Manual",ROUND(SUMPRODUCT((CÁLCULO!$M$15:$M$22=EVENTOS!$C23)*(OFFSET(CÁLCULO!$AA$15:$AA$22,0,I$13))),2),0)</f>
        <v>0</v>
      </c>
      <c r="J23" s="620" cm="1">
        <f t="array" aca="1" ref="J23" ca="1">IF(AUTOEVENTO="Manual",ROUND(SUMPRODUCT((CÁLCULO!$M$15:$M$22=EVENTOS!$C23)*(OFFSET(CÁLCULO!$AA$15:$AA$22,0,J$13))),2),0)</f>
        <v>0</v>
      </c>
      <c r="K23" s="620" cm="1">
        <f t="array" aca="1" ref="K23" ca="1">IF(AUTOEVENTO="Manual",ROUND(SUMPRODUCT((CÁLCULO!$M$15:$M$22=EVENTOS!$C23)*(OFFSET(CÁLCULO!$AA$15:$AA$22,0,K$13))),2),0)</f>
        <v>0</v>
      </c>
      <c r="L23" s="620" cm="1">
        <f t="array" aca="1" ref="L23" ca="1">IF(AUTOEVENTO="Manual",ROUND(SUMPRODUCT((CÁLCULO!$M$15:$M$22=EVENTOS!$C23)*(OFFSET(CÁLCULO!$AA$15:$AA$22,0,L$13))),2),0)</f>
        <v>0</v>
      </c>
      <c r="M23" s="620" cm="1">
        <f t="array" aca="1" ref="M23" ca="1">IF(AUTOEVENTO="Manual",ROUND(SUMPRODUCT((CÁLCULO!$M$15:$M$22=EVENTOS!$C23)*(OFFSET(CÁLCULO!$AA$15:$AA$22,0,M$13))),2),0)</f>
        <v>0</v>
      </c>
      <c r="N23" s="620" cm="1">
        <f t="array" aca="1" ref="N23" ca="1">IF(AUTOEVENTO="Manual",ROUND(SUMPRODUCT((CÁLCULO!$M$15:$M$22=EVENTOS!$C23)*(OFFSET(CÁLCULO!$AA$15:$AA$22,0,N$13))),2),0)</f>
        <v>0</v>
      </c>
      <c r="O23" s="620" cm="1">
        <f t="array" aca="1" ref="O23" ca="1">IF(AUTOEVENTO="Manual",ROUND(SUMPRODUCT((CÁLCULO!$M$15:$M$22=EVENTOS!$C23)*(OFFSET(CÁLCULO!$AA$15:$AA$22,0,O$13))),2),0)</f>
        <v>0</v>
      </c>
      <c r="P23" s="620" cm="1">
        <f t="array" aca="1" ref="P23" ca="1">IF(AUTOEVENTO="Manual",ROUND(SUMPRODUCT((CÁLCULO!$M$15:$M$22=EVENTOS!$C23)*(OFFSET(CÁLCULO!$AA$15:$AA$22,0,P$13))),2),0)</f>
        <v>0</v>
      </c>
      <c r="Q23" s="620" cm="1">
        <f t="array" aca="1" ref="Q23" ca="1">IF(AUTOEVENTO="Manual",ROUND(SUMPRODUCT((CÁLCULO!$M$15:$M$22=EVENTOS!$C23)*(OFFSET(CÁLCULO!$AA$15:$AA$22,0,Q$13))),2),0)</f>
        <v>0</v>
      </c>
      <c r="R23" s="620" cm="1">
        <f t="array" aca="1" ref="R23" ca="1">IF(AUTOEVENTO="Manual",ROUND(SUMPRODUCT((CÁLCULO!$M$15:$M$22=EVENTOS!$C23)*(OFFSET(CÁLCULO!$AA$15:$AA$22,0,R$13))),2),0)</f>
        <v>0</v>
      </c>
      <c r="S23" s="620" cm="1">
        <f t="array" aca="1" ref="S23" ca="1">IF(AUTOEVENTO="Manual",ROUND(SUMPRODUCT((CÁLCULO!$M$15:$M$22=EVENTOS!$C23)*(OFFSET(CÁLCULO!$AA$15:$AA$22,0,S$13))),2),0)</f>
        <v>0</v>
      </c>
      <c r="T23" s="620" cm="1">
        <f t="array" aca="1" ref="T23" ca="1">IF(AUTOEVENTO="Manual",ROUND(SUMPRODUCT((CÁLCULO!$M$15:$M$22=EVENTOS!$C23)*(OFFSET(CÁLCULO!$AA$15:$AA$22,0,T$13))),2),0)</f>
        <v>0</v>
      </c>
      <c r="U23" s="620" cm="1">
        <f t="array" aca="1" ref="U23" ca="1">IF(AUTOEVENTO="Manual",ROUND(SUMPRODUCT((CÁLCULO!$M$15:$M$22=EVENTOS!$C23)*(OFFSET(CÁLCULO!$AA$15:$AA$22,0,U$13))),2),0)</f>
        <v>0</v>
      </c>
      <c r="V23" s="620" cm="1">
        <f t="array" aca="1" ref="V23" ca="1">IF(AUTOEVENTO="Manual",ROUND(SUMPRODUCT((CÁLCULO!$M$15:$M$22=EVENTOS!$C23)*(OFFSET(CÁLCULO!$AA$15:$AA$22,0,V$13))),2),0)</f>
        <v>0</v>
      </c>
      <c r="W23" s="620" cm="1">
        <f t="array" aca="1" ref="W23" ca="1">IF(AUTOEVENTO="Manual",ROUND(SUMPRODUCT((CÁLCULO!$M$15:$M$22=EVENTOS!$C23)*(OFFSET(CÁLCULO!$AA$15:$AA$22,0,W$13))),2),0)</f>
        <v>0</v>
      </c>
      <c r="X23" s="620" cm="1">
        <f t="array" aca="1" ref="X23" ca="1">IF(AUTOEVENTO="Manual",ROUND(SUMPRODUCT((CÁLCULO!$M$15:$M$22=EVENTOS!$C23)*(OFFSET(CÁLCULO!$AA$15:$AA$22,0,X$13))),2),0)</f>
        <v>0</v>
      </c>
      <c r="Y23" s="620" cm="1">
        <f t="array" aca="1" ref="Y23" ca="1">IF(AUTOEVENTO="Manual",ROUND(SUMPRODUCT((CÁLCULO!$M$15:$M$22=EVENTOS!$C23)*(OFFSET(CÁLCULO!$AA$15:$AA$22,0,Y$13))),2),0)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IF(AUTOEVENTO="Manual",ROUND(SUMPRODUCT((CÁLCULO!$M$15:$M$22=EVENTOS!$C24)*(OFFSET(CÁLCULO!$AA$15:$AA$22,0,E$13))),2),0)</f>
        <v>0</v>
      </c>
      <c r="F24" s="183">
        <f ca="1">IF(AUTOEVENTO="Manual",ROUND(SUMPRODUCT((CÁLCULO!$M$15:$M$22=EVENTOS!$C24)*(OFFSET(CÁLCULO!$AA$15,0,1):OFFSET(CÁLCULO!$AL$22,0,-1))),2),0)</f>
        <v>0</v>
      </c>
      <c r="G24" s="621" t="str">
        <f t="shared" ca="1" si="5"/>
        <v/>
      </c>
      <c r="H24" s="620" cm="1">
        <f t="array" aca="1" ref="H24" ca="1">IF(AUTOEVENTO="Manual",ROUND(SUMPRODUCT((CÁLCULO!$M$15:$M$22=EVENTOS!$C24)*(OFFSET(CÁLCULO!$AA$15:$AA$22,0,H$13))),2),0)</f>
        <v>0</v>
      </c>
      <c r="I24" s="620" cm="1">
        <f t="array" aca="1" ref="I24" ca="1">IF(AUTOEVENTO="Manual",ROUND(SUMPRODUCT((CÁLCULO!$M$15:$M$22=EVENTOS!$C24)*(OFFSET(CÁLCULO!$AA$15:$AA$22,0,I$13))),2),0)</f>
        <v>0</v>
      </c>
      <c r="J24" s="620" cm="1">
        <f t="array" aca="1" ref="J24" ca="1">IF(AUTOEVENTO="Manual",ROUND(SUMPRODUCT((CÁLCULO!$M$15:$M$22=EVENTOS!$C24)*(OFFSET(CÁLCULO!$AA$15:$AA$22,0,J$13))),2),0)</f>
        <v>0</v>
      </c>
      <c r="K24" s="620" cm="1">
        <f t="array" aca="1" ref="K24" ca="1">IF(AUTOEVENTO="Manual",ROUND(SUMPRODUCT((CÁLCULO!$M$15:$M$22=EVENTOS!$C24)*(OFFSET(CÁLCULO!$AA$15:$AA$22,0,K$13))),2),0)</f>
        <v>0</v>
      </c>
      <c r="L24" s="620" cm="1">
        <f t="array" aca="1" ref="L24" ca="1">IF(AUTOEVENTO="Manual",ROUND(SUMPRODUCT((CÁLCULO!$M$15:$M$22=EVENTOS!$C24)*(OFFSET(CÁLCULO!$AA$15:$AA$22,0,L$13))),2),0)</f>
        <v>0</v>
      </c>
      <c r="M24" s="620" cm="1">
        <f t="array" aca="1" ref="M24" ca="1">IF(AUTOEVENTO="Manual",ROUND(SUMPRODUCT((CÁLCULO!$M$15:$M$22=EVENTOS!$C24)*(OFFSET(CÁLCULO!$AA$15:$AA$22,0,M$13))),2),0)</f>
        <v>0</v>
      </c>
      <c r="N24" s="620" cm="1">
        <f t="array" aca="1" ref="N24" ca="1">IF(AUTOEVENTO="Manual",ROUND(SUMPRODUCT((CÁLCULO!$M$15:$M$22=EVENTOS!$C24)*(OFFSET(CÁLCULO!$AA$15:$AA$22,0,N$13))),2),0)</f>
        <v>0</v>
      </c>
      <c r="O24" s="620" cm="1">
        <f t="array" aca="1" ref="O24" ca="1">IF(AUTOEVENTO="Manual",ROUND(SUMPRODUCT((CÁLCULO!$M$15:$M$22=EVENTOS!$C24)*(OFFSET(CÁLCULO!$AA$15:$AA$22,0,O$13))),2),0)</f>
        <v>0</v>
      </c>
      <c r="P24" s="620" cm="1">
        <f t="array" aca="1" ref="P24" ca="1">IF(AUTOEVENTO="Manual",ROUND(SUMPRODUCT((CÁLCULO!$M$15:$M$22=EVENTOS!$C24)*(OFFSET(CÁLCULO!$AA$15:$AA$22,0,P$13))),2),0)</f>
        <v>0</v>
      </c>
      <c r="Q24" s="620" cm="1">
        <f t="array" aca="1" ref="Q24" ca="1">IF(AUTOEVENTO="Manual",ROUND(SUMPRODUCT((CÁLCULO!$M$15:$M$22=EVENTOS!$C24)*(OFFSET(CÁLCULO!$AA$15:$AA$22,0,Q$13))),2),0)</f>
        <v>0</v>
      </c>
      <c r="R24" s="620" cm="1">
        <f t="array" aca="1" ref="R24" ca="1">IF(AUTOEVENTO="Manual",ROUND(SUMPRODUCT((CÁLCULO!$M$15:$M$22=EVENTOS!$C24)*(OFFSET(CÁLCULO!$AA$15:$AA$22,0,R$13))),2),0)</f>
        <v>0</v>
      </c>
      <c r="S24" s="620" cm="1">
        <f t="array" aca="1" ref="S24" ca="1">IF(AUTOEVENTO="Manual",ROUND(SUMPRODUCT((CÁLCULO!$M$15:$M$22=EVENTOS!$C24)*(OFFSET(CÁLCULO!$AA$15:$AA$22,0,S$13))),2),0)</f>
        <v>0</v>
      </c>
      <c r="T24" s="620" cm="1">
        <f t="array" aca="1" ref="T24" ca="1">IF(AUTOEVENTO="Manual",ROUND(SUMPRODUCT((CÁLCULO!$M$15:$M$22=EVENTOS!$C24)*(OFFSET(CÁLCULO!$AA$15:$AA$22,0,T$13))),2),0)</f>
        <v>0</v>
      </c>
      <c r="U24" s="620" cm="1">
        <f t="array" aca="1" ref="U24" ca="1">IF(AUTOEVENTO="Manual",ROUND(SUMPRODUCT((CÁLCULO!$M$15:$M$22=EVENTOS!$C24)*(OFFSET(CÁLCULO!$AA$15:$AA$22,0,U$13))),2),0)</f>
        <v>0</v>
      </c>
      <c r="V24" s="620" cm="1">
        <f t="array" aca="1" ref="V24" ca="1">IF(AUTOEVENTO="Manual",ROUND(SUMPRODUCT((CÁLCULO!$M$15:$M$22=EVENTOS!$C24)*(OFFSET(CÁLCULO!$AA$15:$AA$22,0,V$13))),2),0)</f>
        <v>0</v>
      </c>
      <c r="W24" s="620" cm="1">
        <f t="array" aca="1" ref="W24" ca="1">IF(AUTOEVENTO="Manual",ROUND(SUMPRODUCT((CÁLCULO!$M$15:$M$22=EVENTOS!$C24)*(OFFSET(CÁLCULO!$AA$15:$AA$22,0,W$13))),2),0)</f>
        <v>0</v>
      </c>
      <c r="X24" s="620" cm="1">
        <f t="array" aca="1" ref="X24" ca="1">IF(AUTOEVENTO="Manual",ROUND(SUMPRODUCT((CÁLCULO!$M$15:$M$22=EVENTOS!$C24)*(OFFSET(CÁLCULO!$AA$15:$AA$22,0,X$13))),2),0)</f>
        <v>0</v>
      </c>
      <c r="Y24" s="620" cm="1">
        <f t="array" aca="1" ref="Y24" ca="1">IF(AUTOEVENTO="Manual",ROUND(SUMPRODUCT((CÁLCULO!$M$15:$M$22=EVENTOS!$C24)*(OFFSET(CÁLCULO!$AA$15:$AA$22,0,Y$13))),2),0)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IF(AUTOEVENTO="Manual",ROUND(SUMPRODUCT((CÁLCULO!$M$15:$M$22=EVENTOS!$C25)*(OFFSET(CÁLCULO!$AA$15:$AA$22,0,E$13))),2),0)</f>
        <v>0</v>
      </c>
      <c r="F25" s="183">
        <f ca="1">IF(AUTOEVENTO="Manual",ROUND(SUMPRODUCT((CÁLCULO!$M$15:$M$22=EVENTOS!$C25)*(OFFSET(CÁLCULO!$AA$15,0,1):OFFSET(CÁLCULO!$AL$22,0,-1))),2),0)</f>
        <v>0</v>
      </c>
      <c r="G25" s="621" t="str">
        <f t="shared" ca="1" si="5"/>
        <v/>
      </c>
      <c r="H25" s="620" cm="1">
        <f t="array" aca="1" ref="H25" ca="1">IF(AUTOEVENTO="Manual",ROUND(SUMPRODUCT((CÁLCULO!$M$15:$M$22=EVENTOS!$C25)*(OFFSET(CÁLCULO!$AA$15:$AA$22,0,H$13))),2),0)</f>
        <v>0</v>
      </c>
      <c r="I25" s="620" cm="1">
        <f t="array" aca="1" ref="I25" ca="1">IF(AUTOEVENTO="Manual",ROUND(SUMPRODUCT((CÁLCULO!$M$15:$M$22=EVENTOS!$C25)*(OFFSET(CÁLCULO!$AA$15:$AA$22,0,I$13))),2),0)</f>
        <v>0</v>
      </c>
      <c r="J25" s="620" cm="1">
        <f t="array" aca="1" ref="J25" ca="1">IF(AUTOEVENTO="Manual",ROUND(SUMPRODUCT((CÁLCULO!$M$15:$M$22=EVENTOS!$C25)*(OFFSET(CÁLCULO!$AA$15:$AA$22,0,J$13))),2),0)</f>
        <v>0</v>
      </c>
      <c r="K25" s="620" cm="1">
        <f t="array" aca="1" ref="K25" ca="1">IF(AUTOEVENTO="Manual",ROUND(SUMPRODUCT((CÁLCULO!$M$15:$M$22=EVENTOS!$C25)*(OFFSET(CÁLCULO!$AA$15:$AA$22,0,K$13))),2),0)</f>
        <v>0</v>
      </c>
      <c r="L25" s="620" cm="1">
        <f t="array" aca="1" ref="L25" ca="1">IF(AUTOEVENTO="Manual",ROUND(SUMPRODUCT((CÁLCULO!$M$15:$M$22=EVENTOS!$C25)*(OFFSET(CÁLCULO!$AA$15:$AA$22,0,L$13))),2),0)</f>
        <v>0</v>
      </c>
      <c r="M25" s="620" cm="1">
        <f t="array" aca="1" ref="M25" ca="1">IF(AUTOEVENTO="Manual",ROUND(SUMPRODUCT((CÁLCULO!$M$15:$M$22=EVENTOS!$C25)*(OFFSET(CÁLCULO!$AA$15:$AA$22,0,M$13))),2),0)</f>
        <v>0</v>
      </c>
      <c r="N25" s="620" cm="1">
        <f t="array" aca="1" ref="N25" ca="1">IF(AUTOEVENTO="Manual",ROUND(SUMPRODUCT((CÁLCULO!$M$15:$M$22=EVENTOS!$C25)*(OFFSET(CÁLCULO!$AA$15:$AA$22,0,N$13))),2),0)</f>
        <v>0</v>
      </c>
      <c r="O25" s="620" cm="1">
        <f t="array" aca="1" ref="O25" ca="1">IF(AUTOEVENTO="Manual",ROUND(SUMPRODUCT((CÁLCULO!$M$15:$M$22=EVENTOS!$C25)*(OFFSET(CÁLCULO!$AA$15:$AA$22,0,O$13))),2),0)</f>
        <v>0</v>
      </c>
      <c r="P25" s="620" cm="1">
        <f t="array" aca="1" ref="P25" ca="1">IF(AUTOEVENTO="Manual",ROUND(SUMPRODUCT((CÁLCULO!$M$15:$M$22=EVENTOS!$C25)*(OFFSET(CÁLCULO!$AA$15:$AA$22,0,P$13))),2),0)</f>
        <v>0</v>
      </c>
      <c r="Q25" s="620" cm="1">
        <f t="array" aca="1" ref="Q25" ca="1">IF(AUTOEVENTO="Manual",ROUND(SUMPRODUCT((CÁLCULO!$M$15:$M$22=EVENTOS!$C25)*(OFFSET(CÁLCULO!$AA$15:$AA$22,0,Q$13))),2),0)</f>
        <v>0</v>
      </c>
      <c r="R25" s="620" cm="1">
        <f t="array" aca="1" ref="R25" ca="1">IF(AUTOEVENTO="Manual",ROUND(SUMPRODUCT((CÁLCULO!$M$15:$M$22=EVENTOS!$C25)*(OFFSET(CÁLCULO!$AA$15:$AA$22,0,R$13))),2),0)</f>
        <v>0</v>
      </c>
      <c r="S25" s="620" cm="1">
        <f t="array" aca="1" ref="S25" ca="1">IF(AUTOEVENTO="Manual",ROUND(SUMPRODUCT((CÁLCULO!$M$15:$M$22=EVENTOS!$C25)*(OFFSET(CÁLCULO!$AA$15:$AA$22,0,S$13))),2),0)</f>
        <v>0</v>
      </c>
      <c r="T25" s="620" cm="1">
        <f t="array" aca="1" ref="T25" ca="1">IF(AUTOEVENTO="Manual",ROUND(SUMPRODUCT((CÁLCULO!$M$15:$M$22=EVENTOS!$C25)*(OFFSET(CÁLCULO!$AA$15:$AA$22,0,T$13))),2),0)</f>
        <v>0</v>
      </c>
      <c r="U25" s="620" cm="1">
        <f t="array" aca="1" ref="U25" ca="1">IF(AUTOEVENTO="Manual",ROUND(SUMPRODUCT((CÁLCULO!$M$15:$M$22=EVENTOS!$C25)*(OFFSET(CÁLCULO!$AA$15:$AA$22,0,U$13))),2),0)</f>
        <v>0</v>
      </c>
      <c r="V25" s="620" cm="1">
        <f t="array" aca="1" ref="V25" ca="1">IF(AUTOEVENTO="Manual",ROUND(SUMPRODUCT((CÁLCULO!$M$15:$M$22=EVENTOS!$C25)*(OFFSET(CÁLCULO!$AA$15:$AA$22,0,V$13))),2),0)</f>
        <v>0</v>
      </c>
      <c r="W25" s="620" cm="1">
        <f t="array" aca="1" ref="W25" ca="1">IF(AUTOEVENTO="Manual",ROUND(SUMPRODUCT((CÁLCULO!$M$15:$M$22=EVENTOS!$C25)*(OFFSET(CÁLCULO!$AA$15:$AA$22,0,W$13))),2),0)</f>
        <v>0</v>
      </c>
      <c r="X25" s="620" cm="1">
        <f t="array" aca="1" ref="X25" ca="1">IF(AUTOEVENTO="Manual",ROUND(SUMPRODUCT((CÁLCULO!$M$15:$M$22=EVENTOS!$C25)*(OFFSET(CÁLCULO!$AA$15:$AA$22,0,X$13))),2),0)</f>
        <v>0</v>
      </c>
      <c r="Y25" s="620" cm="1">
        <f t="array" aca="1" ref="Y25" ca="1">IF(AUTOEVENTO="Manual",ROUND(SUMPRODUCT((CÁLCULO!$M$15:$M$22=EVENTOS!$C25)*(OFFSET(CÁLCULO!$AA$15:$AA$22,0,Y$13))),2),0)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IF(AUTOEVENTO="Manual",ROUND(SUMPRODUCT((CÁLCULO!$M$15:$M$22=EVENTOS!$C26)*(OFFSET(CÁLCULO!$AA$15:$AA$22,0,E$13))),2),0)</f>
        <v>0</v>
      </c>
      <c r="F26" s="183">
        <f ca="1">IF(AUTOEVENTO="Manual",ROUND(SUMPRODUCT((CÁLCULO!$M$15:$M$22=EVENTOS!$C26)*(OFFSET(CÁLCULO!$AA$15,0,1):OFFSET(CÁLCULO!$AL$22,0,-1))),2),0)</f>
        <v>0</v>
      </c>
      <c r="G26" s="621" t="str">
        <f t="shared" ca="1" si="5"/>
        <v/>
      </c>
      <c r="H26" s="620" cm="1">
        <f t="array" aca="1" ref="H26" ca="1">IF(AUTOEVENTO="Manual",ROUND(SUMPRODUCT((CÁLCULO!$M$15:$M$22=EVENTOS!$C26)*(OFFSET(CÁLCULO!$AA$15:$AA$22,0,H$13))),2),0)</f>
        <v>0</v>
      </c>
      <c r="I26" s="620" cm="1">
        <f t="array" aca="1" ref="I26" ca="1">IF(AUTOEVENTO="Manual",ROUND(SUMPRODUCT((CÁLCULO!$M$15:$M$22=EVENTOS!$C26)*(OFFSET(CÁLCULO!$AA$15:$AA$22,0,I$13))),2),0)</f>
        <v>0</v>
      </c>
      <c r="J26" s="620" cm="1">
        <f t="array" aca="1" ref="J26" ca="1">IF(AUTOEVENTO="Manual",ROUND(SUMPRODUCT((CÁLCULO!$M$15:$M$22=EVENTOS!$C26)*(OFFSET(CÁLCULO!$AA$15:$AA$22,0,J$13))),2),0)</f>
        <v>0</v>
      </c>
      <c r="K26" s="620" cm="1">
        <f t="array" aca="1" ref="K26" ca="1">IF(AUTOEVENTO="Manual",ROUND(SUMPRODUCT((CÁLCULO!$M$15:$M$22=EVENTOS!$C26)*(OFFSET(CÁLCULO!$AA$15:$AA$22,0,K$13))),2),0)</f>
        <v>0</v>
      </c>
      <c r="L26" s="620" cm="1">
        <f t="array" aca="1" ref="L26" ca="1">IF(AUTOEVENTO="Manual",ROUND(SUMPRODUCT((CÁLCULO!$M$15:$M$22=EVENTOS!$C26)*(OFFSET(CÁLCULO!$AA$15:$AA$22,0,L$13))),2),0)</f>
        <v>0</v>
      </c>
      <c r="M26" s="620" cm="1">
        <f t="array" aca="1" ref="M26" ca="1">IF(AUTOEVENTO="Manual",ROUND(SUMPRODUCT((CÁLCULO!$M$15:$M$22=EVENTOS!$C26)*(OFFSET(CÁLCULO!$AA$15:$AA$22,0,M$13))),2),0)</f>
        <v>0</v>
      </c>
      <c r="N26" s="620" cm="1">
        <f t="array" aca="1" ref="N26" ca="1">IF(AUTOEVENTO="Manual",ROUND(SUMPRODUCT((CÁLCULO!$M$15:$M$22=EVENTOS!$C26)*(OFFSET(CÁLCULO!$AA$15:$AA$22,0,N$13))),2),0)</f>
        <v>0</v>
      </c>
      <c r="O26" s="620" cm="1">
        <f t="array" aca="1" ref="O26" ca="1">IF(AUTOEVENTO="Manual",ROUND(SUMPRODUCT((CÁLCULO!$M$15:$M$22=EVENTOS!$C26)*(OFFSET(CÁLCULO!$AA$15:$AA$22,0,O$13))),2),0)</f>
        <v>0</v>
      </c>
      <c r="P26" s="620" cm="1">
        <f t="array" aca="1" ref="P26" ca="1">IF(AUTOEVENTO="Manual",ROUND(SUMPRODUCT((CÁLCULO!$M$15:$M$22=EVENTOS!$C26)*(OFFSET(CÁLCULO!$AA$15:$AA$22,0,P$13))),2),0)</f>
        <v>0</v>
      </c>
      <c r="Q26" s="620" cm="1">
        <f t="array" aca="1" ref="Q26" ca="1">IF(AUTOEVENTO="Manual",ROUND(SUMPRODUCT((CÁLCULO!$M$15:$M$22=EVENTOS!$C26)*(OFFSET(CÁLCULO!$AA$15:$AA$22,0,Q$13))),2),0)</f>
        <v>0</v>
      </c>
      <c r="R26" s="620" cm="1">
        <f t="array" aca="1" ref="R26" ca="1">IF(AUTOEVENTO="Manual",ROUND(SUMPRODUCT((CÁLCULO!$M$15:$M$22=EVENTOS!$C26)*(OFFSET(CÁLCULO!$AA$15:$AA$22,0,R$13))),2),0)</f>
        <v>0</v>
      </c>
      <c r="S26" s="620" cm="1">
        <f t="array" aca="1" ref="S26" ca="1">IF(AUTOEVENTO="Manual",ROUND(SUMPRODUCT((CÁLCULO!$M$15:$M$22=EVENTOS!$C26)*(OFFSET(CÁLCULO!$AA$15:$AA$22,0,S$13))),2),0)</f>
        <v>0</v>
      </c>
      <c r="T26" s="620" cm="1">
        <f t="array" aca="1" ref="T26" ca="1">IF(AUTOEVENTO="Manual",ROUND(SUMPRODUCT((CÁLCULO!$M$15:$M$22=EVENTOS!$C26)*(OFFSET(CÁLCULO!$AA$15:$AA$22,0,T$13))),2),0)</f>
        <v>0</v>
      </c>
      <c r="U26" s="620" cm="1">
        <f t="array" aca="1" ref="U26" ca="1">IF(AUTOEVENTO="Manual",ROUND(SUMPRODUCT((CÁLCULO!$M$15:$M$22=EVENTOS!$C26)*(OFFSET(CÁLCULO!$AA$15:$AA$22,0,U$13))),2),0)</f>
        <v>0</v>
      </c>
      <c r="V26" s="620" cm="1">
        <f t="array" aca="1" ref="V26" ca="1">IF(AUTOEVENTO="Manual",ROUND(SUMPRODUCT((CÁLCULO!$M$15:$M$22=EVENTOS!$C26)*(OFFSET(CÁLCULO!$AA$15:$AA$22,0,V$13))),2),0)</f>
        <v>0</v>
      </c>
      <c r="W26" s="620" cm="1">
        <f t="array" aca="1" ref="W26" ca="1">IF(AUTOEVENTO="Manual",ROUND(SUMPRODUCT((CÁLCULO!$M$15:$M$22=EVENTOS!$C26)*(OFFSET(CÁLCULO!$AA$15:$AA$22,0,W$13))),2),0)</f>
        <v>0</v>
      </c>
      <c r="X26" s="620" cm="1">
        <f t="array" aca="1" ref="X26" ca="1">IF(AUTOEVENTO="Manual",ROUND(SUMPRODUCT((CÁLCULO!$M$15:$M$22=EVENTOS!$C26)*(OFFSET(CÁLCULO!$AA$15:$AA$22,0,X$13))),2),0)</f>
        <v>0</v>
      </c>
      <c r="Y26" s="620" cm="1">
        <f t="array" aca="1" ref="Y26" ca="1">IF(AUTOEVENTO="Manual",ROUND(SUMPRODUCT((CÁLCULO!$M$15:$M$22=EVENTOS!$C26)*(OFFSET(CÁLCULO!$AA$15:$AA$22,0,Y$13))),2),0)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IF(AUTOEVENTO="Manual",ROUND(SUMPRODUCT((CÁLCULO!$M$15:$M$22=EVENTOS!$C27)*(OFFSET(CÁLCULO!$AA$15:$AA$22,0,E$13))),2),0)</f>
        <v>0</v>
      </c>
      <c r="F27" s="183">
        <f ca="1">IF(AUTOEVENTO="Manual",ROUND(SUMPRODUCT((CÁLCULO!$M$15:$M$22=EVENTOS!$C27)*(OFFSET(CÁLCULO!$AA$15,0,1):OFFSET(CÁLCULO!$AL$22,0,-1))),2),0)</f>
        <v>0</v>
      </c>
      <c r="G27" s="621" t="str">
        <f t="shared" ca="1" si="5"/>
        <v/>
      </c>
      <c r="H27" s="620" cm="1">
        <f t="array" aca="1" ref="H27" ca="1">IF(AUTOEVENTO="Manual",ROUND(SUMPRODUCT((CÁLCULO!$M$15:$M$22=EVENTOS!$C27)*(OFFSET(CÁLCULO!$AA$15:$AA$22,0,H$13))),2),0)</f>
        <v>0</v>
      </c>
      <c r="I27" s="620" cm="1">
        <f t="array" aca="1" ref="I27" ca="1">IF(AUTOEVENTO="Manual",ROUND(SUMPRODUCT((CÁLCULO!$M$15:$M$22=EVENTOS!$C27)*(OFFSET(CÁLCULO!$AA$15:$AA$22,0,I$13))),2),0)</f>
        <v>0</v>
      </c>
      <c r="J27" s="620" cm="1">
        <f t="array" aca="1" ref="J27" ca="1">IF(AUTOEVENTO="Manual",ROUND(SUMPRODUCT((CÁLCULO!$M$15:$M$22=EVENTOS!$C27)*(OFFSET(CÁLCULO!$AA$15:$AA$22,0,J$13))),2),0)</f>
        <v>0</v>
      </c>
      <c r="K27" s="620" cm="1">
        <f t="array" aca="1" ref="K27" ca="1">IF(AUTOEVENTO="Manual",ROUND(SUMPRODUCT((CÁLCULO!$M$15:$M$22=EVENTOS!$C27)*(OFFSET(CÁLCULO!$AA$15:$AA$22,0,K$13))),2),0)</f>
        <v>0</v>
      </c>
      <c r="L27" s="620" cm="1">
        <f t="array" aca="1" ref="L27" ca="1">IF(AUTOEVENTO="Manual",ROUND(SUMPRODUCT((CÁLCULO!$M$15:$M$22=EVENTOS!$C27)*(OFFSET(CÁLCULO!$AA$15:$AA$22,0,L$13))),2),0)</f>
        <v>0</v>
      </c>
      <c r="M27" s="620" cm="1">
        <f t="array" aca="1" ref="M27" ca="1">IF(AUTOEVENTO="Manual",ROUND(SUMPRODUCT((CÁLCULO!$M$15:$M$22=EVENTOS!$C27)*(OFFSET(CÁLCULO!$AA$15:$AA$22,0,M$13))),2),0)</f>
        <v>0</v>
      </c>
      <c r="N27" s="620" cm="1">
        <f t="array" aca="1" ref="N27" ca="1">IF(AUTOEVENTO="Manual",ROUND(SUMPRODUCT((CÁLCULO!$M$15:$M$22=EVENTOS!$C27)*(OFFSET(CÁLCULO!$AA$15:$AA$22,0,N$13))),2),0)</f>
        <v>0</v>
      </c>
      <c r="O27" s="620" cm="1">
        <f t="array" aca="1" ref="O27" ca="1">IF(AUTOEVENTO="Manual",ROUND(SUMPRODUCT((CÁLCULO!$M$15:$M$22=EVENTOS!$C27)*(OFFSET(CÁLCULO!$AA$15:$AA$22,0,O$13))),2),0)</f>
        <v>0</v>
      </c>
      <c r="P27" s="620" cm="1">
        <f t="array" aca="1" ref="P27" ca="1">IF(AUTOEVENTO="Manual",ROUND(SUMPRODUCT((CÁLCULO!$M$15:$M$22=EVENTOS!$C27)*(OFFSET(CÁLCULO!$AA$15:$AA$22,0,P$13))),2),0)</f>
        <v>0</v>
      </c>
      <c r="Q27" s="620" cm="1">
        <f t="array" aca="1" ref="Q27" ca="1">IF(AUTOEVENTO="Manual",ROUND(SUMPRODUCT((CÁLCULO!$M$15:$M$22=EVENTOS!$C27)*(OFFSET(CÁLCULO!$AA$15:$AA$22,0,Q$13))),2),0)</f>
        <v>0</v>
      </c>
      <c r="R27" s="620" cm="1">
        <f t="array" aca="1" ref="R27" ca="1">IF(AUTOEVENTO="Manual",ROUND(SUMPRODUCT((CÁLCULO!$M$15:$M$22=EVENTOS!$C27)*(OFFSET(CÁLCULO!$AA$15:$AA$22,0,R$13))),2),0)</f>
        <v>0</v>
      </c>
      <c r="S27" s="620" cm="1">
        <f t="array" aca="1" ref="S27" ca="1">IF(AUTOEVENTO="Manual",ROUND(SUMPRODUCT((CÁLCULO!$M$15:$M$22=EVENTOS!$C27)*(OFFSET(CÁLCULO!$AA$15:$AA$22,0,S$13))),2),0)</f>
        <v>0</v>
      </c>
      <c r="T27" s="620" cm="1">
        <f t="array" aca="1" ref="T27" ca="1">IF(AUTOEVENTO="Manual",ROUND(SUMPRODUCT((CÁLCULO!$M$15:$M$22=EVENTOS!$C27)*(OFFSET(CÁLCULO!$AA$15:$AA$22,0,T$13))),2),0)</f>
        <v>0</v>
      </c>
      <c r="U27" s="620" cm="1">
        <f t="array" aca="1" ref="U27" ca="1">IF(AUTOEVENTO="Manual",ROUND(SUMPRODUCT((CÁLCULO!$M$15:$M$22=EVENTOS!$C27)*(OFFSET(CÁLCULO!$AA$15:$AA$22,0,U$13))),2),0)</f>
        <v>0</v>
      </c>
      <c r="V27" s="620" cm="1">
        <f t="array" aca="1" ref="V27" ca="1">IF(AUTOEVENTO="Manual",ROUND(SUMPRODUCT((CÁLCULO!$M$15:$M$22=EVENTOS!$C27)*(OFFSET(CÁLCULO!$AA$15:$AA$22,0,V$13))),2),0)</f>
        <v>0</v>
      </c>
      <c r="W27" s="620" cm="1">
        <f t="array" aca="1" ref="W27" ca="1">IF(AUTOEVENTO="Manual",ROUND(SUMPRODUCT((CÁLCULO!$M$15:$M$22=EVENTOS!$C27)*(OFFSET(CÁLCULO!$AA$15:$AA$22,0,W$13))),2),0)</f>
        <v>0</v>
      </c>
      <c r="X27" s="620" cm="1">
        <f t="array" aca="1" ref="X27" ca="1">IF(AUTOEVENTO="Manual",ROUND(SUMPRODUCT((CÁLCULO!$M$15:$M$22=EVENTOS!$C27)*(OFFSET(CÁLCULO!$AA$15:$AA$22,0,X$13))),2),0)</f>
        <v>0</v>
      </c>
      <c r="Y27" s="620" cm="1">
        <f t="array" aca="1" ref="Y27" ca="1">IF(AUTOEVENTO="Manual",ROUND(SUMPRODUCT((CÁLCULO!$M$15:$M$22=EVENTOS!$C27)*(OFFSET(CÁLCULO!$AA$15:$AA$22,0,Y$13))),2),0)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IF(AUTOEVENTO="Manual",ROUND(SUMPRODUCT((CÁLCULO!$M$15:$M$22=EVENTOS!$C28)*(OFFSET(CÁLCULO!$AA$15:$AA$22,0,E$13))),2),0)</f>
        <v>0</v>
      </c>
      <c r="F28" s="183">
        <f ca="1">IF(AUTOEVENTO="Manual",ROUND(SUMPRODUCT((CÁLCULO!$M$15:$M$22=EVENTOS!$C28)*(OFFSET(CÁLCULO!$AA$15,0,1):OFFSET(CÁLCULO!$AL$22,0,-1))),2),0)</f>
        <v>0</v>
      </c>
      <c r="G28" s="621" t="str">
        <f t="shared" ca="1" si="5"/>
        <v/>
      </c>
      <c r="H28" s="620" cm="1">
        <f t="array" aca="1" ref="H28" ca="1">IF(AUTOEVENTO="Manual",ROUND(SUMPRODUCT((CÁLCULO!$M$15:$M$22=EVENTOS!$C28)*(OFFSET(CÁLCULO!$AA$15:$AA$22,0,H$13))),2),0)</f>
        <v>0</v>
      </c>
      <c r="I28" s="620" cm="1">
        <f t="array" aca="1" ref="I28" ca="1">IF(AUTOEVENTO="Manual",ROUND(SUMPRODUCT((CÁLCULO!$M$15:$M$22=EVENTOS!$C28)*(OFFSET(CÁLCULO!$AA$15:$AA$22,0,I$13))),2),0)</f>
        <v>0</v>
      </c>
      <c r="J28" s="620" cm="1">
        <f t="array" aca="1" ref="J28" ca="1">IF(AUTOEVENTO="Manual",ROUND(SUMPRODUCT((CÁLCULO!$M$15:$M$22=EVENTOS!$C28)*(OFFSET(CÁLCULO!$AA$15:$AA$22,0,J$13))),2),0)</f>
        <v>0</v>
      </c>
      <c r="K28" s="620" cm="1">
        <f t="array" aca="1" ref="K28" ca="1">IF(AUTOEVENTO="Manual",ROUND(SUMPRODUCT((CÁLCULO!$M$15:$M$22=EVENTOS!$C28)*(OFFSET(CÁLCULO!$AA$15:$AA$22,0,K$13))),2),0)</f>
        <v>0</v>
      </c>
      <c r="L28" s="620" cm="1">
        <f t="array" aca="1" ref="L28" ca="1">IF(AUTOEVENTO="Manual",ROUND(SUMPRODUCT((CÁLCULO!$M$15:$M$22=EVENTOS!$C28)*(OFFSET(CÁLCULO!$AA$15:$AA$22,0,L$13))),2),0)</f>
        <v>0</v>
      </c>
      <c r="M28" s="620" cm="1">
        <f t="array" aca="1" ref="M28" ca="1">IF(AUTOEVENTO="Manual",ROUND(SUMPRODUCT((CÁLCULO!$M$15:$M$22=EVENTOS!$C28)*(OFFSET(CÁLCULO!$AA$15:$AA$22,0,M$13))),2),0)</f>
        <v>0</v>
      </c>
      <c r="N28" s="620" cm="1">
        <f t="array" aca="1" ref="N28" ca="1">IF(AUTOEVENTO="Manual",ROUND(SUMPRODUCT((CÁLCULO!$M$15:$M$22=EVENTOS!$C28)*(OFFSET(CÁLCULO!$AA$15:$AA$22,0,N$13))),2),0)</f>
        <v>0</v>
      </c>
      <c r="O28" s="620" cm="1">
        <f t="array" aca="1" ref="O28" ca="1">IF(AUTOEVENTO="Manual",ROUND(SUMPRODUCT((CÁLCULO!$M$15:$M$22=EVENTOS!$C28)*(OFFSET(CÁLCULO!$AA$15:$AA$22,0,O$13))),2),0)</f>
        <v>0</v>
      </c>
      <c r="P28" s="620" cm="1">
        <f t="array" aca="1" ref="P28" ca="1">IF(AUTOEVENTO="Manual",ROUND(SUMPRODUCT((CÁLCULO!$M$15:$M$22=EVENTOS!$C28)*(OFFSET(CÁLCULO!$AA$15:$AA$22,0,P$13))),2),0)</f>
        <v>0</v>
      </c>
      <c r="Q28" s="620" cm="1">
        <f t="array" aca="1" ref="Q28" ca="1">IF(AUTOEVENTO="Manual",ROUND(SUMPRODUCT((CÁLCULO!$M$15:$M$22=EVENTOS!$C28)*(OFFSET(CÁLCULO!$AA$15:$AA$22,0,Q$13))),2),0)</f>
        <v>0</v>
      </c>
      <c r="R28" s="620" cm="1">
        <f t="array" aca="1" ref="R28" ca="1">IF(AUTOEVENTO="Manual",ROUND(SUMPRODUCT((CÁLCULO!$M$15:$M$22=EVENTOS!$C28)*(OFFSET(CÁLCULO!$AA$15:$AA$22,0,R$13))),2),0)</f>
        <v>0</v>
      </c>
      <c r="S28" s="620" cm="1">
        <f t="array" aca="1" ref="S28" ca="1">IF(AUTOEVENTO="Manual",ROUND(SUMPRODUCT((CÁLCULO!$M$15:$M$22=EVENTOS!$C28)*(OFFSET(CÁLCULO!$AA$15:$AA$22,0,S$13))),2),0)</f>
        <v>0</v>
      </c>
      <c r="T28" s="620" cm="1">
        <f t="array" aca="1" ref="T28" ca="1">IF(AUTOEVENTO="Manual",ROUND(SUMPRODUCT((CÁLCULO!$M$15:$M$22=EVENTOS!$C28)*(OFFSET(CÁLCULO!$AA$15:$AA$22,0,T$13))),2),0)</f>
        <v>0</v>
      </c>
      <c r="U28" s="620" cm="1">
        <f t="array" aca="1" ref="U28" ca="1">IF(AUTOEVENTO="Manual",ROUND(SUMPRODUCT((CÁLCULO!$M$15:$M$22=EVENTOS!$C28)*(OFFSET(CÁLCULO!$AA$15:$AA$22,0,U$13))),2),0)</f>
        <v>0</v>
      </c>
      <c r="V28" s="620" cm="1">
        <f t="array" aca="1" ref="V28" ca="1">IF(AUTOEVENTO="Manual",ROUND(SUMPRODUCT((CÁLCULO!$M$15:$M$22=EVENTOS!$C28)*(OFFSET(CÁLCULO!$AA$15:$AA$22,0,V$13))),2),0)</f>
        <v>0</v>
      </c>
      <c r="W28" s="620" cm="1">
        <f t="array" aca="1" ref="W28" ca="1">IF(AUTOEVENTO="Manual",ROUND(SUMPRODUCT((CÁLCULO!$M$15:$M$22=EVENTOS!$C28)*(OFFSET(CÁLCULO!$AA$15:$AA$22,0,W$13))),2),0)</f>
        <v>0</v>
      </c>
      <c r="X28" s="620" cm="1">
        <f t="array" aca="1" ref="X28" ca="1">IF(AUTOEVENTO="Manual",ROUND(SUMPRODUCT((CÁLCULO!$M$15:$M$22=EVENTOS!$C28)*(OFFSET(CÁLCULO!$AA$15:$AA$22,0,X$13))),2),0)</f>
        <v>0</v>
      </c>
      <c r="Y28" s="620" cm="1">
        <f t="array" aca="1" ref="Y28" ca="1">IF(AUTOEVENTO="Manual",ROUND(SUMPRODUCT((CÁLCULO!$M$15:$M$22=EVENTOS!$C28)*(OFFSET(CÁLCULO!$AA$15:$AA$22,0,Y$13))),2),0)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IF(AUTOEVENTO="Manual",ROUND(SUMPRODUCT((CÁLCULO!$M$15:$M$22=EVENTOS!$C29)*(OFFSET(CÁLCULO!$AA$15:$AA$22,0,E$13))),2),0)</f>
        <v>0</v>
      </c>
      <c r="F29" s="183">
        <f ca="1">IF(AUTOEVENTO="Manual",ROUND(SUMPRODUCT((CÁLCULO!$M$15:$M$22=EVENTOS!$C29)*(OFFSET(CÁLCULO!$AA$15,0,1):OFFSET(CÁLCULO!$AL$22,0,-1))),2),0)</f>
        <v>0</v>
      </c>
      <c r="G29" s="621" t="str">
        <f t="shared" ca="1" si="5"/>
        <v/>
      </c>
      <c r="H29" s="620" cm="1">
        <f t="array" aca="1" ref="H29" ca="1">IF(AUTOEVENTO="Manual",ROUND(SUMPRODUCT((CÁLCULO!$M$15:$M$22=EVENTOS!$C29)*(OFFSET(CÁLCULO!$AA$15:$AA$22,0,H$13))),2),0)</f>
        <v>0</v>
      </c>
      <c r="I29" s="620" cm="1">
        <f t="array" aca="1" ref="I29" ca="1">IF(AUTOEVENTO="Manual",ROUND(SUMPRODUCT((CÁLCULO!$M$15:$M$22=EVENTOS!$C29)*(OFFSET(CÁLCULO!$AA$15:$AA$22,0,I$13))),2),0)</f>
        <v>0</v>
      </c>
      <c r="J29" s="620" cm="1">
        <f t="array" aca="1" ref="J29" ca="1">IF(AUTOEVENTO="Manual",ROUND(SUMPRODUCT((CÁLCULO!$M$15:$M$22=EVENTOS!$C29)*(OFFSET(CÁLCULO!$AA$15:$AA$22,0,J$13))),2),0)</f>
        <v>0</v>
      </c>
      <c r="K29" s="620" cm="1">
        <f t="array" aca="1" ref="K29" ca="1">IF(AUTOEVENTO="Manual",ROUND(SUMPRODUCT((CÁLCULO!$M$15:$M$22=EVENTOS!$C29)*(OFFSET(CÁLCULO!$AA$15:$AA$22,0,K$13))),2),0)</f>
        <v>0</v>
      </c>
      <c r="L29" s="620" cm="1">
        <f t="array" aca="1" ref="L29" ca="1">IF(AUTOEVENTO="Manual",ROUND(SUMPRODUCT((CÁLCULO!$M$15:$M$22=EVENTOS!$C29)*(OFFSET(CÁLCULO!$AA$15:$AA$22,0,L$13))),2),0)</f>
        <v>0</v>
      </c>
      <c r="M29" s="620" cm="1">
        <f t="array" aca="1" ref="M29" ca="1">IF(AUTOEVENTO="Manual",ROUND(SUMPRODUCT((CÁLCULO!$M$15:$M$22=EVENTOS!$C29)*(OFFSET(CÁLCULO!$AA$15:$AA$22,0,M$13))),2),0)</f>
        <v>0</v>
      </c>
      <c r="N29" s="620" cm="1">
        <f t="array" aca="1" ref="N29" ca="1">IF(AUTOEVENTO="Manual",ROUND(SUMPRODUCT((CÁLCULO!$M$15:$M$22=EVENTOS!$C29)*(OFFSET(CÁLCULO!$AA$15:$AA$22,0,N$13))),2),0)</f>
        <v>0</v>
      </c>
      <c r="O29" s="620" cm="1">
        <f t="array" aca="1" ref="O29" ca="1">IF(AUTOEVENTO="Manual",ROUND(SUMPRODUCT((CÁLCULO!$M$15:$M$22=EVENTOS!$C29)*(OFFSET(CÁLCULO!$AA$15:$AA$22,0,O$13))),2),0)</f>
        <v>0</v>
      </c>
      <c r="P29" s="620" cm="1">
        <f t="array" aca="1" ref="P29" ca="1">IF(AUTOEVENTO="Manual",ROUND(SUMPRODUCT((CÁLCULO!$M$15:$M$22=EVENTOS!$C29)*(OFFSET(CÁLCULO!$AA$15:$AA$22,0,P$13))),2),0)</f>
        <v>0</v>
      </c>
      <c r="Q29" s="620" cm="1">
        <f t="array" aca="1" ref="Q29" ca="1">IF(AUTOEVENTO="Manual",ROUND(SUMPRODUCT((CÁLCULO!$M$15:$M$22=EVENTOS!$C29)*(OFFSET(CÁLCULO!$AA$15:$AA$22,0,Q$13))),2),0)</f>
        <v>0</v>
      </c>
      <c r="R29" s="620" cm="1">
        <f t="array" aca="1" ref="R29" ca="1">IF(AUTOEVENTO="Manual",ROUND(SUMPRODUCT((CÁLCULO!$M$15:$M$22=EVENTOS!$C29)*(OFFSET(CÁLCULO!$AA$15:$AA$22,0,R$13))),2),0)</f>
        <v>0</v>
      </c>
      <c r="S29" s="620" cm="1">
        <f t="array" aca="1" ref="S29" ca="1">IF(AUTOEVENTO="Manual",ROUND(SUMPRODUCT((CÁLCULO!$M$15:$M$22=EVENTOS!$C29)*(OFFSET(CÁLCULO!$AA$15:$AA$22,0,S$13))),2),0)</f>
        <v>0</v>
      </c>
      <c r="T29" s="620" cm="1">
        <f t="array" aca="1" ref="T29" ca="1">IF(AUTOEVENTO="Manual",ROUND(SUMPRODUCT((CÁLCULO!$M$15:$M$22=EVENTOS!$C29)*(OFFSET(CÁLCULO!$AA$15:$AA$22,0,T$13))),2),0)</f>
        <v>0</v>
      </c>
      <c r="U29" s="620" cm="1">
        <f t="array" aca="1" ref="U29" ca="1">IF(AUTOEVENTO="Manual",ROUND(SUMPRODUCT((CÁLCULO!$M$15:$M$22=EVENTOS!$C29)*(OFFSET(CÁLCULO!$AA$15:$AA$22,0,U$13))),2),0)</f>
        <v>0</v>
      </c>
      <c r="V29" s="620" cm="1">
        <f t="array" aca="1" ref="V29" ca="1">IF(AUTOEVENTO="Manual",ROUND(SUMPRODUCT((CÁLCULO!$M$15:$M$22=EVENTOS!$C29)*(OFFSET(CÁLCULO!$AA$15:$AA$22,0,V$13))),2),0)</f>
        <v>0</v>
      </c>
      <c r="W29" s="620" cm="1">
        <f t="array" aca="1" ref="W29" ca="1">IF(AUTOEVENTO="Manual",ROUND(SUMPRODUCT((CÁLCULO!$M$15:$M$22=EVENTOS!$C29)*(OFFSET(CÁLCULO!$AA$15:$AA$22,0,W$13))),2),0)</f>
        <v>0</v>
      </c>
      <c r="X29" s="620" cm="1">
        <f t="array" aca="1" ref="X29" ca="1">IF(AUTOEVENTO="Manual",ROUND(SUMPRODUCT((CÁLCULO!$M$15:$M$22=EVENTOS!$C29)*(OFFSET(CÁLCULO!$AA$15:$AA$22,0,X$13))),2),0)</f>
        <v>0</v>
      </c>
      <c r="Y29" s="620" cm="1">
        <f t="array" aca="1" ref="Y29" ca="1">IF(AUTOEVENTO="Manual",ROUND(SUMPRODUCT((CÁLCULO!$M$15:$M$22=EVENTOS!$C29)*(OFFSET(CÁLCULO!$AA$15:$AA$22,0,Y$13))),2),0)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IF(AUTOEVENTO="Manual",ROUND(SUMPRODUCT((CÁLCULO!$M$15:$M$22=EVENTOS!$C30)*(OFFSET(CÁLCULO!$AA$15:$AA$22,0,E$13))),2),0)</f>
        <v>0</v>
      </c>
      <c r="F30" s="183">
        <f ca="1">IF(AUTOEVENTO="Manual",ROUND(SUMPRODUCT((CÁLCULO!$M$15:$M$22=EVENTOS!$C30)*(OFFSET(CÁLCULO!$AA$15,0,1):OFFSET(CÁLCULO!$AL$22,0,-1))),2),0)</f>
        <v>0</v>
      </c>
      <c r="G30" s="621" t="str">
        <f t="shared" ca="1" si="5"/>
        <v/>
      </c>
      <c r="H30" s="620" cm="1">
        <f t="array" aca="1" ref="H30" ca="1">IF(AUTOEVENTO="Manual",ROUND(SUMPRODUCT((CÁLCULO!$M$15:$M$22=EVENTOS!$C30)*(OFFSET(CÁLCULO!$AA$15:$AA$22,0,H$13))),2),0)</f>
        <v>0</v>
      </c>
      <c r="I30" s="620" cm="1">
        <f t="array" aca="1" ref="I30" ca="1">IF(AUTOEVENTO="Manual",ROUND(SUMPRODUCT((CÁLCULO!$M$15:$M$22=EVENTOS!$C30)*(OFFSET(CÁLCULO!$AA$15:$AA$22,0,I$13))),2),0)</f>
        <v>0</v>
      </c>
      <c r="J30" s="620" cm="1">
        <f t="array" aca="1" ref="J30" ca="1">IF(AUTOEVENTO="Manual",ROUND(SUMPRODUCT((CÁLCULO!$M$15:$M$22=EVENTOS!$C30)*(OFFSET(CÁLCULO!$AA$15:$AA$22,0,J$13))),2),0)</f>
        <v>0</v>
      </c>
      <c r="K30" s="620" cm="1">
        <f t="array" aca="1" ref="K30" ca="1">IF(AUTOEVENTO="Manual",ROUND(SUMPRODUCT((CÁLCULO!$M$15:$M$22=EVENTOS!$C30)*(OFFSET(CÁLCULO!$AA$15:$AA$22,0,K$13))),2),0)</f>
        <v>0</v>
      </c>
      <c r="L30" s="620" cm="1">
        <f t="array" aca="1" ref="L30" ca="1">IF(AUTOEVENTO="Manual",ROUND(SUMPRODUCT((CÁLCULO!$M$15:$M$22=EVENTOS!$C30)*(OFFSET(CÁLCULO!$AA$15:$AA$22,0,L$13))),2),0)</f>
        <v>0</v>
      </c>
      <c r="M30" s="620" cm="1">
        <f t="array" aca="1" ref="M30" ca="1">IF(AUTOEVENTO="Manual",ROUND(SUMPRODUCT((CÁLCULO!$M$15:$M$22=EVENTOS!$C30)*(OFFSET(CÁLCULO!$AA$15:$AA$22,0,M$13))),2),0)</f>
        <v>0</v>
      </c>
      <c r="N30" s="620" cm="1">
        <f t="array" aca="1" ref="N30" ca="1">IF(AUTOEVENTO="Manual",ROUND(SUMPRODUCT((CÁLCULO!$M$15:$M$22=EVENTOS!$C30)*(OFFSET(CÁLCULO!$AA$15:$AA$22,0,N$13))),2),0)</f>
        <v>0</v>
      </c>
      <c r="O30" s="620" cm="1">
        <f t="array" aca="1" ref="O30" ca="1">IF(AUTOEVENTO="Manual",ROUND(SUMPRODUCT((CÁLCULO!$M$15:$M$22=EVENTOS!$C30)*(OFFSET(CÁLCULO!$AA$15:$AA$22,0,O$13))),2),0)</f>
        <v>0</v>
      </c>
      <c r="P30" s="620" cm="1">
        <f t="array" aca="1" ref="P30" ca="1">IF(AUTOEVENTO="Manual",ROUND(SUMPRODUCT((CÁLCULO!$M$15:$M$22=EVENTOS!$C30)*(OFFSET(CÁLCULO!$AA$15:$AA$22,0,P$13))),2),0)</f>
        <v>0</v>
      </c>
      <c r="Q30" s="620" cm="1">
        <f t="array" aca="1" ref="Q30" ca="1">IF(AUTOEVENTO="Manual",ROUND(SUMPRODUCT((CÁLCULO!$M$15:$M$22=EVENTOS!$C30)*(OFFSET(CÁLCULO!$AA$15:$AA$22,0,Q$13))),2),0)</f>
        <v>0</v>
      </c>
      <c r="R30" s="620" cm="1">
        <f t="array" aca="1" ref="R30" ca="1">IF(AUTOEVENTO="Manual",ROUND(SUMPRODUCT((CÁLCULO!$M$15:$M$22=EVENTOS!$C30)*(OFFSET(CÁLCULO!$AA$15:$AA$22,0,R$13))),2),0)</f>
        <v>0</v>
      </c>
      <c r="S30" s="620" cm="1">
        <f t="array" aca="1" ref="S30" ca="1">IF(AUTOEVENTO="Manual",ROUND(SUMPRODUCT((CÁLCULO!$M$15:$M$22=EVENTOS!$C30)*(OFFSET(CÁLCULO!$AA$15:$AA$22,0,S$13))),2),0)</f>
        <v>0</v>
      </c>
      <c r="T30" s="620" cm="1">
        <f t="array" aca="1" ref="T30" ca="1">IF(AUTOEVENTO="Manual",ROUND(SUMPRODUCT((CÁLCULO!$M$15:$M$22=EVENTOS!$C30)*(OFFSET(CÁLCULO!$AA$15:$AA$22,0,T$13))),2),0)</f>
        <v>0</v>
      </c>
      <c r="U30" s="620" cm="1">
        <f t="array" aca="1" ref="U30" ca="1">IF(AUTOEVENTO="Manual",ROUND(SUMPRODUCT((CÁLCULO!$M$15:$M$22=EVENTOS!$C30)*(OFFSET(CÁLCULO!$AA$15:$AA$22,0,U$13))),2),0)</f>
        <v>0</v>
      </c>
      <c r="V30" s="620" cm="1">
        <f t="array" aca="1" ref="V30" ca="1">IF(AUTOEVENTO="Manual",ROUND(SUMPRODUCT((CÁLCULO!$M$15:$M$22=EVENTOS!$C30)*(OFFSET(CÁLCULO!$AA$15:$AA$22,0,V$13))),2),0)</f>
        <v>0</v>
      </c>
      <c r="W30" s="620" cm="1">
        <f t="array" aca="1" ref="W30" ca="1">IF(AUTOEVENTO="Manual",ROUND(SUMPRODUCT((CÁLCULO!$M$15:$M$22=EVENTOS!$C30)*(OFFSET(CÁLCULO!$AA$15:$AA$22,0,W$13))),2),0)</f>
        <v>0</v>
      </c>
      <c r="X30" s="620" cm="1">
        <f t="array" aca="1" ref="X30" ca="1">IF(AUTOEVENTO="Manual",ROUND(SUMPRODUCT((CÁLCULO!$M$15:$M$22=EVENTOS!$C30)*(OFFSET(CÁLCULO!$AA$15:$AA$22,0,X$13))),2),0)</f>
        <v>0</v>
      </c>
      <c r="Y30" s="620" cm="1">
        <f t="array" aca="1" ref="Y30" ca="1">IF(AUTOEVENTO="Manual",ROUND(SUMPRODUCT((CÁLCULO!$M$15:$M$22=EVENTOS!$C30)*(OFFSET(CÁLCULO!$AA$15:$AA$22,0,Y$13))),2),0)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IF(AUTOEVENTO="Manual",ROUND(SUMPRODUCT((CÁLCULO!$M$15:$M$22=EVENTOS!$C31)*(OFFSET(CÁLCULO!$AA$15:$AA$22,0,E$13))),2),0)</f>
        <v>0</v>
      </c>
      <c r="F31" s="183">
        <f ca="1">IF(AUTOEVENTO="Manual",ROUND(SUMPRODUCT((CÁLCULO!$M$15:$M$22=EVENTOS!$C31)*(OFFSET(CÁLCULO!$AA$15,0,1):OFFSET(CÁLCULO!$AL$22,0,-1))),2),0)</f>
        <v>0</v>
      </c>
      <c r="G31" s="621" t="str">
        <f t="shared" ca="1" si="5"/>
        <v/>
      </c>
      <c r="H31" s="620" cm="1">
        <f t="array" aca="1" ref="H31" ca="1">IF(AUTOEVENTO="Manual",ROUND(SUMPRODUCT((CÁLCULO!$M$15:$M$22=EVENTOS!$C31)*(OFFSET(CÁLCULO!$AA$15:$AA$22,0,H$13))),2),0)</f>
        <v>0</v>
      </c>
      <c r="I31" s="620" cm="1">
        <f t="array" aca="1" ref="I31" ca="1">IF(AUTOEVENTO="Manual",ROUND(SUMPRODUCT((CÁLCULO!$M$15:$M$22=EVENTOS!$C31)*(OFFSET(CÁLCULO!$AA$15:$AA$22,0,I$13))),2),0)</f>
        <v>0</v>
      </c>
      <c r="J31" s="620" cm="1">
        <f t="array" aca="1" ref="J31" ca="1">IF(AUTOEVENTO="Manual",ROUND(SUMPRODUCT((CÁLCULO!$M$15:$M$22=EVENTOS!$C31)*(OFFSET(CÁLCULO!$AA$15:$AA$22,0,J$13))),2),0)</f>
        <v>0</v>
      </c>
      <c r="K31" s="620" cm="1">
        <f t="array" aca="1" ref="K31" ca="1">IF(AUTOEVENTO="Manual",ROUND(SUMPRODUCT((CÁLCULO!$M$15:$M$22=EVENTOS!$C31)*(OFFSET(CÁLCULO!$AA$15:$AA$22,0,K$13))),2),0)</f>
        <v>0</v>
      </c>
      <c r="L31" s="620" cm="1">
        <f t="array" aca="1" ref="L31" ca="1">IF(AUTOEVENTO="Manual",ROUND(SUMPRODUCT((CÁLCULO!$M$15:$M$22=EVENTOS!$C31)*(OFFSET(CÁLCULO!$AA$15:$AA$22,0,L$13))),2),0)</f>
        <v>0</v>
      </c>
      <c r="M31" s="620" cm="1">
        <f t="array" aca="1" ref="M31" ca="1">IF(AUTOEVENTO="Manual",ROUND(SUMPRODUCT((CÁLCULO!$M$15:$M$22=EVENTOS!$C31)*(OFFSET(CÁLCULO!$AA$15:$AA$22,0,M$13))),2),0)</f>
        <v>0</v>
      </c>
      <c r="N31" s="620" cm="1">
        <f t="array" aca="1" ref="N31" ca="1">IF(AUTOEVENTO="Manual",ROUND(SUMPRODUCT((CÁLCULO!$M$15:$M$22=EVENTOS!$C31)*(OFFSET(CÁLCULO!$AA$15:$AA$22,0,N$13))),2),0)</f>
        <v>0</v>
      </c>
      <c r="O31" s="620" cm="1">
        <f t="array" aca="1" ref="O31" ca="1">IF(AUTOEVENTO="Manual",ROUND(SUMPRODUCT((CÁLCULO!$M$15:$M$22=EVENTOS!$C31)*(OFFSET(CÁLCULO!$AA$15:$AA$22,0,O$13))),2),0)</f>
        <v>0</v>
      </c>
      <c r="P31" s="620" cm="1">
        <f t="array" aca="1" ref="P31" ca="1">IF(AUTOEVENTO="Manual",ROUND(SUMPRODUCT((CÁLCULO!$M$15:$M$22=EVENTOS!$C31)*(OFFSET(CÁLCULO!$AA$15:$AA$22,0,P$13))),2),0)</f>
        <v>0</v>
      </c>
      <c r="Q31" s="620" cm="1">
        <f t="array" aca="1" ref="Q31" ca="1">IF(AUTOEVENTO="Manual",ROUND(SUMPRODUCT((CÁLCULO!$M$15:$M$22=EVENTOS!$C31)*(OFFSET(CÁLCULO!$AA$15:$AA$22,0,Q$13))),2),0)</f>
        <v>0</v>
      </c>
      <c r="R31" s="620" cm="1">
        <f t="array" aca="1" ref="R31" ca="1">IF(AUTOEVENTO="Manual",ROUND(SUMPRODUCT((CÁLCULO!$M$15:$M$22=EVENTOS!$C31)*(OFFSET(CÁLCULO!$AA$15:$AA$22,0,R$13))),2),0)</f>
        <v>0</v>
      </c>
      <c r="S31" s="620" cm="1">
        <f t="array" aca="1" ref="S31" ca="1">IF(AUTOEVENTO="Manual",ROUND(SUMPRODUCT((CÁLCULO!$M$15:$M$22=EVENTOS!$C31)*(OFFSET(CÁLCULO!$AA$15:$AA$22,0,S$13))),2),0)</f>
        <v>0</v>
      </c>
      <c r="T31" s="620" cm="1">
        <f t="array" aca="1" ref="T31" ca="1">IF(AUTOEVENTO="Manual",ROUND(SUMPRODUCT((CÁLCULO!$M$15:$M$22=EVENTOS!$C31)*(OFFSET(CÁLCULO!$AA$15:$AA$22,0,T$13))),2),0)</f>
        <v>0</v>
      </c>
      <c r="U31" s="620" cm="1">
        <f t="array" aca="1" ref="U31" ca="1">IF(AUTOEVENTO="Manual",ROUND(SUMPRODUCT((CÁLCULO!$M$15:$M$22=EVENTOS!$C31)*(OFFSET(CÁLCULO!$AA$15:$AA$22,0,U$13))),2),0)</f>
        <v>0</v>
      </c>
      <c r="V31" s="620" cm="1">
        <f t="array" aca="1" ref="V31" ca="1">IF(AUTOEVENTO="Manual",ROUND(SUMPRODUCT((CÁLCULO!$M$15:$M$22=EVENTOS!$C31)*(OFFSET(CÁLCULO!$AA$15:$AA$22,0,V$13))),2),0)</f>
        <v>0</v>
      </c>
      <c r="W31" s="620" cm="1">
        <f t="array" aca="1" ref="W31" ca="1">IF(AUTOEVENTO="Manual",ROUND(SUMPRODUCT((CÁLCULO!$M$15:$M$22=EVENTOS!$C31)*(OFFSET(CÁLCULO!$AA$15:$AA$22,0,W$13))),2),0)</f>
        <v>0</v>
      </c>
      <c r="X31" s="620" cm="1">
        <f t="array" aca="1" ref="X31" ca="1">IF(AUTOEVENTO="Manual",ROUND(SUMPRODUCT((CÁLCULO!$M$15:$M$22=EVENTOS!$C31)*(OFFSET(CÁLCULO!$AA$15:$AA$22,0,X$13))),2),0)</f>
        <v>0</v>
      </c>
      <c r="Y31" s="620" cm="1">
        <f t="array" aca="1" ref="Y31" ca="1">IF(AUTOEVENTO="Manual",ROUND(SUMPRODUCT((CÁLCULO!$M$15:$M$22=EVENTOS!$C31)*(OFFSET(CÁLCULO!$AA$15:$AA$22,0,Y$13))),2),0)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IF(AUTOEVENTO="Manual",ROUND(SUMPRODUCT((CÁLCULO!$M$15:$M$22=EVENTOS!$C32)*(OFFSET(CÁLCULO!$AA$15:$AA$22,0,E$13))),2),0)</f>
        <v>0</v>
      </c>
      <c r="F32" s="183">
        <f ca="1">IF(AUTOEVENTO="Manual",ROUND(SUMPRODUCT((CÁLCULO!$M$15:$M$22=EVENTOS!$C32)*(OFFSET(CÁLCULO!$AA$15,0,1):OFFSET(CÁLCULO!$AL$22,0,-1))),2),0)</f>
        <v>0</v>
      </c>
      <c r="G32" s="621" t="str">
        <f t="shared" ca="1" si="5"/>
        <v/>
      </c>
      <c r="H32" s="620" cm="1">
        <f t="array" aca="1" ref="H32" ca="1">IF(AUTOEVENTO="Manual",ROUND(SUMPRODUCT((CÁLCULO!$M$15:$M$22=EVENTOS!$C32)*(OFFSET(CÁLCULO!$AA$15:$AA$22,0,H$13))),2),0)</f>
        <v>0</v>
      </c>
      <c r="I32" s="620" cm="1">
        <f t="array" aca="1" ref="I32" ca="1">IF(AUTOEVENTO="Manual",ROUND(SUMPRODUCT((CÁLCULO!$M$15:$M$22=EVENTOS!$C32)*(OFFSET(CÁLCULO!$AA$15:$AA$22,0,I$13))),2),0)</f>
        <v>0</v>
      </c>
      <c r="J32" s="620" cm="1">
        <f t="array" aca="1" ref="J32" ca="1">IF(AUTOEVENTO="Manual",ROUND(SUMPRODUCT((CÁLCULO!$M$15:$M$22=EVENTOS!$C32)*(OFFSET(CÁLCULO!$AA$15:$AA$22,0,J$13))),2),0)</f>
        <v>0</v>
      </c>
      <c r="K32" s="620" cm="1">
        <f t="array" aca="1" ref="K32" ca="1">IF(AUTOEVENTO="Manual",ROUND(SUMPRODUCT((CÁLCULO!$M$15:$M$22=EVENTOS!$C32)*(OFFSET(CÁLCULO!$AA$15:$AA$22,0,K$13))),2),0)</f>
        <v>0</v>
      </c>
      <c r="L32" s="620" cm="1">
        <f t="array" aca="1" ref="L32" ca="1">IF(AUTOEVENTO="Manual",ROUND(SUMPRODUCT((CÁLCULO!$M$15:$M$22=EVENTOS!$C32)*(OFFSET(CÁLCULO!$AA$15:$AA$22,0,L$13))),2),0)</f>
        <v>0</v>
      </c>
      <c r="M32" s="620" cm="1">
        <f t="array" aca="1" ref="M32" ca="1">IF(AUTOEVENTO="Manual",ROUND(SUMPRODUCT((CÁLCULO!$M$15:$M$22=EVENTOS!$C32)*(OFFSET(CÁLCULO!$AA$15:$AA$22,0,M$13))),2),0)</f>
        <v>0</v>
      </c>
      <c r="N32" s="620" cm="1">
        <f t="array" aca="1" ref="N32" ca="1">IF(AUTOEVENTO="Manual",ROUND(SUMPRODUCT((CÁLCULO!$M$15:$M$22=EVENTOS!$C32)*(OFFSET(CÁLCULO!$AA$15:$AA$22,0,N$13))),2),0)</f>
        <v>0</v>
      </c>
      <c r="O32" s="620" cm="1">
        <f t="array" aca="1" ref="O32" ca="1">IF(AUTOEVENTO="Manual",ROUND(SUMPRODUCT((CÁLCULO!$M$15:$M$22=EVENTOS!$C32)*(OFFSET(CÁLCULO!$AA$15:$AA$22,0,O$13))),2),0)</f>
        <v>0</v>
      </c>
      <c r="P32" s="620" cm="1">
        <f t="array" aca="1" ref="P32" ca="1">IF(AUTOEVENTO="Manual",ROUND(SUMPRODUCT((CÁLCULO!$M$15:$M$22=EVENTOS!$C32)*(OFFSET(CÁLCULO!$AA$15:$AA$22,0,P$13))),2),0)</f>
        <v>0</v>
      </c>
      <c r="Q32" s="620" cm="1">
        <f t="array" aca="1" ref="Q32" ca="1">IF(AUTOEVENTO="Manual",ROUND(SUMPRODUCT((CÁLCULO!$M$15:$M$22=EVENTOS!$C32)*(OFFSET(CÁLCULO!$AA$15:$AA$22,0,Q$13))),2),0)</f>
        <v>0</v>
      </c>
      <c r="R32" s="620" cm="1">
        <f t="array" aca="1" ref="R32" ca="1">IF(AUTOEVENTO="Manual",ROUND(SUMPRODUCT((CÁLCULO!$M$15:$M$22=EVENTOS!$C32)*(OFFSET(CÁLCULO!$AA$15:$AA$22,0,R$13))),2),0)</f>
        <v>0</v>
      </c>
      <c r="S32" s="620" cm="1">
        <f t="array" aca="1" ref="S32" ca="1">IF(AUTOEVENTO="Manual",ROUND(SUMPRODUCT((CÁLCULO!$M$15:$M$22=EVENTOS!$C32)*(OFFSET(CÁLCULO!$AA$15:$AA$22,0,S$13))),2),0)</f>
        <v>0</v>
      </c>
      <c r="T32" s="620" cm="1">
        <f t="array" aca="1" ref="T32" ca="1">IF(AUTOEVENTO="Manual",ROUND(SUMPRODUCT((CÁLCULO!$M$15:$M$22=EVENTOS!$C32)*(OFFSET(CÁLCULO!$AA$15:$AA$22,0,T$13))),2),0)</f>
        <v>0</v>
      </c>
      <c r="U32" s="620" cm="1">
        <f t="array" aca="1" ref="U32" ca="1">IF(AUTOEVENTO="Manual",ROUND(SUMPRODUCT((CÁLCULO!$M$15:$M$22=EVENTOS!$C32)*(OFFSET(CÁLCULO!$AA$15:$AA$22,0,U$13))),2),0)</f>
        <v>0</v>
      </c>
      <c r="V32" s="620" cm="1">
        <f t="array" aca="1" ref="V32" ca="1">IF(AUTOEVENTO="Manual",ROUND(SUMPRODUCT((CÁLCULO!$M$15:$M$22=EVENTOS!$C32)*(OFFSET(CÁLCULO!$AA$15:$AA$22,0,V$13))),2),0)</f>
        <v>0</v>
      </c>
      <c r="W32" s="620" cm="1">
        <f t="array" aca="1" ref="W32" ca="1">IF(AUTOEVENTO="Manual",ROUND(SUMPRODUCT((CÁLCULO!$M$15:$M$22=EVENTOS!$C32)*(OFFSET(CÁLCULO!$AA$15:$AA$22,0,W$13))),2),0)</f>
        <v>0</v>
      </c>
      <c r="X32" s="620" cm="1">
        <f t="array" aca="1" ref="X32" ca="1">IF(AUTOEVENTO="Manual",ROUND(SUMPRODUCT((CÁLCULO!$M$15:$M$22=EVENTOS!$C32)*(OFFSET(CÁLCULO!$AA$15:$AA$22,0,X$13))),2),0)</f>
        <v>0</v>
      </c>
      <c r="Y32" s="620" cm="1">
        <f t="array" aca="1" ref="Y32" ca="1">IF(AUTOEVENTO="Manual",ROUND(SUMPRODUCT((CÁLCULO!$M$15:$M$22=EVENTOS!$C32)*(OFFSET(CÁLCULO!$AA$15:$AA$22,0,Y$13))),2),0)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IF(AUTOEVENTO="Manual",ROUND(SUMPRODUCT((CÁLCULO!$M$15:$M$22=EVENTOS!$C33)*(OFFSET(CÁLCULO!$AA$15:$AA$22,0,E$13))),2),0)</f>
        <v>0</v>
      </c>
      <c r="F33" s="183">
        <f ca="1">IF(AUTOEVENTO="Manual",ROUND(SUMPRODUCT((CÁLCULO!$M$15:$M$22=EVENTOS!$C33)*(OFFSET(CÁLCULO!$AA$15,0,1):OFFSET(CÁLCULO!$AL$22,0,-1))),2),0)</f>
        <v>0</v>
      </c>
      <c r="G33" s="621" t="str">
        <f t="shared" ca="1" si="5"/>
        <v/>
      </c>
      <c r="H33" s="620" cm="1">
        <f t="array" aca="1" ref="H33" ca="1">IF(AUTOEVENTO="Manual",ROUND(SUMPRODUCT((CÁLCULO!$M$15:$M$22=EVENTOS!$C33)*(OFFSET(CÁLCULO!$AA$15:$AA$22,0,H$13))),2),0)</f>
        <v>0</v>
      </c>
      <c r="I33" s="620" cm="1">
        <f t="array" aca="1" ref="I33" ca="1">IF(AUTOEVENTO="Manual",ROUND(SUMPRODUCT((CÁLCULO!$M$15:$M$22=EVENTOS!$C33)*(OFFSET(CÁLCULO!$AA$15:$AA$22,0,I$13))),2),0)</f>
        <v>0</v>
      </c>
      <c r="J33" s="620" cm="1">
        <f t="array" aca="1" ref="J33" ca="1">IF(AUTOEVENTO="Manual",ROUND(SUMPRODUCT((CÁLCULO!$M$15:$M$22=EVENTOS!$C33)*(OFFSET(CÁLCULO!$AA$15:$AA$22,0,J$13))),2),0)</f>
        <v>0</v>
      </c>
      <c r="K33" s="620" cm="1">
        <f t="array" aca="1" ref="K33" ca="1">IF(AUTOEVENTO="Manual",ROUND(SUMPRODUCT((CÁLCULO!$M$15:$M$22=EVENTOS!$C33)*(OFFSET(CÁLCULO!$AA$15:$AA$22,0,K$13))),2),0)</f>
        <v>0</v>
      </c>
      <c r="L33" s="620" cm="1">
        <f t="array" aca="1" ref="L33" ca="1">IF(AUTOEVENTO="Manual",ROUND(SUMPRODUCT((CÁLCULO!$M$15:$M$22=EVENTOS!$C33)*(OFFSET(CÁLCULO!$AA$15:$AA$22,0,L$13))),2),0)</f>
        <v>0</v>
      </c>
      <c r="M33" s="620" cm="1">
        <f t="array" aca="1" ref="M33" ca="1">IF(AUTOEVENTO="Manual",ROUND(SUMPRODUCT((CÁLCULO!$M$15:$M$22=EVENTOS!$C33)*(OFFSET(CÁLCULO!$AA$15:$AA$22,0,M$13))),2),0)</f>
        <v>0</v>
      </c>
      <c r="N33" s="620" cm="1">
        <f t="array" aca="1" ref="N33" ca="1">IF(AUTOEVENTO="Manual",ROUND(SUMPRODUCT((CÁLCULO!$M$15:$M$22=EVENTOS!$C33)*(OFFSET(CÁLCULO!$AA$15:$AA$22,0,N$13))),2),0)</f>
        <v>0</v>
      </c>
      <c r="O33" s="620" cm="1">
        <f t="array" aca="1" ref="O33" ca="1">IF(AUTOEVENTO="Manual",ROUND(SUMPRODUCT((CÁLCULO!$M$15:$M$22=EVENTOS!$C33)*(OFFSET(CÁLCULO!$AA$15:$AA$22,0,O$13))),2),0)</f>
        <v>0</v>
      </c>
      <c r="P33" s="620" cm="1">
        <f t="array" aca="1" ref="P33" ca="1">IF(AUTOEVENTO="Manual",ROUND(SUMPRODUCT((CÁLCULO!$M$15:$M$22=EVENTOS!$C33)*(OFFSET(CÁLCULO!$AA$15:$AA$22,0,P$13))),2),0)</f>
        <v>0</v>
      </c>
      <c r="Q33" s="620" cm="1">
        <f t="array" aca="1" ref="Q33" ca="1">IF(AUTOEVENTO="Manual",ROUND(SUMPRODUCT((CÁLCULO!$M$15:$M$22=EVENTOS!$C33)*(OFFSET(CÁLCULO!$AA$15:$AA$22,0,Q$13))),2),0)</f>
        <v>0</v>
      </c>
      <c r="R33" s="620" cm="1">
        <f t="array" aca="1" ref="R33" ca="1">IF(AUTOEVENTO="Manual",ROUND(SUMPRODUCT((CÁLCULO!$M$15:$M$22=EVENTOS!$C33)*(OFFSET(CÁLCULO!$AA$15:$AA$22,0,R$13))),2),0)</f>
        <v>0</v>
      </c>
      <c r="S33" s="620" cm="1">
        <f t="array" aca="1" ref="S33" ca="1">IF(AUTOEVENTO="Manual",ROUND(SUMPRODUCT((CÁLCULO!$M$15:$M$22=EVENTOS!$C33)*(OFFSET(CÁLCULO!$AA$15:$AA$22,0,S$13))),2),0)</f>
        <v>0</v>
      </c>
      <c r="T33" s="620" cm="1">
        <f t="array" aca="1" ref="T33" ca="1">IF(AUTOEVENTO="Manual",ROUND(SUMPRODUCT((CÁLCULO!$M$15:$M$22=EVENTOS!$C33)*(OFFSET(CÁLCULO!$AA$15:$AA$22,0,T$13))),2),0)</f>
        <v>0</v>
      </c>
      <c r="U33" s="620" cm="1">
        <f t="array" aca="1" ref="U33" ca="1">IF(AUTOEVENTO="Manual",ROUND(SUMPRODUCT((CÁLCULO!$M$15:$M$22=EVENTOS!$C33)*(OFFSET(CÁLCULO!$AA$15:$AA$22,0,U$13))),2),0)</f>
        <v>0</v>
      </c>
      <c r="V33" s="620" cm="1">
        <f t="array" aca="1" ref="V33" ca="1">IF(AUTOEVENTO="Manual",ROUND(SUMPRODUCT((CÁLCULO!$M$15:$M$22=EVENTOS!$C33)*(OFFSET(CÁLCULO!$AA$15:$AA$22,0,V$13))),2),0)</f>
        <v>0</v>
      </c>
      <c r="W33" s="620" cm="1">
        <f t="array" aca="1" ref="W33" ca="1">IF(AUTOEVENTO="Manual",ROUND(SUMPRODUCT((CÁLCULO!$M$15:$M$22=EVENTOS!$C33)*(OFFSET(CÁLCULO!$AA$15:$AA$22,0,W$13))),2),0)</f>
        <v>0</v>
      </c>
      <c r="X33" s="620" cm="1">
        <f t="array" aca="1" ref="X33" ca="1">IF(AUTOEVENTO="Manual",ROUND(SUMPRODUCT((CÁLCULO!$M$15:$M$22=EVENTOS!$C33)*(OFFSET(CÁLCULO!$AA$15:$AA$22,0,X$13))),2),0)</f>
        <v>0</v>
      </c>
      <c r="Y33" s="620" cm="1">
        <f t="array" aca="1" ref="Y33" ca="1">IF(AUTOEVENTO="Manual",ROUND(SUMPRODUCT((CÁLCULO!$M$15:$M$22=EVENTOS!$C33)*(OFFSET(CÁLCULO!$AA$15:$AA$22,0,Y$13))),2),0)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IF(AUTOEVENTO="Manual",ROUND(SUMPRODUCT((CÁLCULO!$M$15:$M$22=EVENTOS!$C34)*(OFFSET(CÁLCULO!$AA$15:$AA$22,0,E$13))),2),0)</f>
        <v>0</v>
      </c>
      <c r="F34" s="183">
        <f ca="1">IF(AUTOEVENTO="Manual",ROUND(SUMPRODUCT((CÁLCULO!$M$15:$M$22=EVENTOS!$C34)*(OFFSET(CÁLCULO!$AA$15,0,1):OFFSET(CÁLCULO!$AL$22,0,-1))),2),0)</f>
        <v>0</v>
      </c>
      <c r="G34" s="621" t="str">
        <f t="shared" ca="1" si="5"/>
        <v/>
      </c>
      <c r="H34" s="620" cm="1">
        <f t="array" aca="1" ref="H34" ca="1">IF(AUTOEVENTO="Manual",ROUND(SUMPRODUCT((CÁLCULO!$M$15:$M$22=EVENTOS!$C34)*(OFFSET(CÁLCULO!$AA$15:$AA$22,0,H$13))),2),0)</f>
        <v>0</v>
      </c>
      <c r="I34" s="620" cm="1">
        <f t="array" aca="1" ref="I34" ca="1">IF(AUTOEVENTO="Manual",ROUND(SUMPRODUCT((CÁLCULO!$M$15:$M$22=EVENTOS!$C34)*(OFFSET(CÁLCULO!$AA$15:$AA$22,0,I$13))),2),0)</f>
        <v>0</v>
      </c>
      <c r="J34" s="620" cm="1">
        <f t="array" aca="1" ref="J34" ca="1">IF(AUTOEVENTO="Manual",ROUND(SUMPRODUCT((CÁLCULO!$M$15:$M$22=EVENTOS!$C34)*(OFFSET(CÁLCULO!$AA$15:$AA$22,0,J$13))),2),0)</f>
        <v>0</v>
      </c>
      <c r="K34" s="620" cm="1">
        <f t="array" aca="1" ref="K34" ca="1">IF(AUTOEVENTO="Manual",ROUND(SUMPRODUCT((CÁLCULO!$M$15:$M$22=EVENTOS!$C34)*(OFFSET(CÁLCULO!$AA$15:$AA$22,0,K$13))),2),0)</f>
        <v>0</v>
      </c>
      <c r="L34" s="620" cm="1">
        <f t="array" aca="1" ref="L34" ca="1">IF(AUTOEVENTO="Manual",ROUND(SUMPRODUCT((CÁLCULO!$M$15:$M$22=EVENTOS!$C34)*(OFFSET(CÁLCULO!$AA$15:$AA$22,0,L$13))),2),0)</f>
        <v>0</v>
      </c>
      <c r="M34" s="620" cm="1">
        <f t="array" aca="1" ref="M34" ca="1">IF(AUTOEVENTO="Manual",ROUND(SUMPRODUCT((CÁLCULO!$M$15:$M$22=EVENTOS!$C34)*(OFFSET(CÁLCULO!$AA$15:$AA$22,0,M$13))),2),0)</f>
        <v>0</v>
      </c>
      <c r="N34" s="620" cm="1">
        <f t="array" aca="1" ref="N34" ca="1">IF(AUTOEVENTO="Manual",ROUND(SUMPRODUCT((CÁLCULO!$M$15:$M$22=EVENTOS!$C34)*(OFFSET(CÁLCULO!$AA$15:$AA$22,0,N$13))),2),0)</f>
        <v>0</v>
      </c>
      <c r="O34" s="620" cm="1">
        <f t="array" aca="1" ref="O34" ca="1">IF(AUTOEVENTO="Manual",ROUND(SUMPRODUCT((CÁLCULO!$M$15:$M$22=EVENTOS!$C34)*(OFFSET(CÁLCULO!$AA$15:$AA$22,0,O$13))),2),0)</f>
        <v>0</v>
      </c>
      <c r="P34" s="620" cm="1">
        <f t="array" aca="1" ref="P34" ca="1">IF(AUTOEVENTO="Manual",ROUND(SUMPRODUCT((CÁLCULO!$M$15:$M$22=EVENTOS!$C34)*(OFFSET(CÁLCULO!$AA$15:$AA$22,0,P$13))),2),0)</f>
        <v>0</v>
      </c>
      <c r="Q34" s="620" cm="1">
        <f t="array" aca="1" ref="Q34" ca="1">IF(AUTOEVENTO="Manual",ROUND(SUMPRODUCT((CÁLCULO!$M$15:$M$22=EVENTOS!$C34)*(OFFSET(CÁLCULO!$AA$15:$AA$22,0,Q$13))),2),0)</f>
        <v>0</v>
      </c>
      <c r="R34" s="620" cm="1">
        <f t="array" aca="1" ref="R34" ca="1">IF(AUTOEVENTO="Manual",ROUND(SUMPRODUCT((CÁLCULO!$M$15:$M$22=EVENTOS!$C34)*(OFFSET(CÁLCULO!$AA$15:$AA$22,0,R$13))),2),0)</f>
        <v>0</v>
      </c>
      <c r="S34" s="620" cm="1">
        <f t="array" aca="1" ref="S34" ca="1">IF(AUTOEVENTO="Manual",ROUND(SUMPRODUCT((CÁLCULO!$M$15:$M$22=EVENTOS!$C34)*(OFFSET(CÁLCULO!$AA$15:$AA$22,0,S$13))),2),0)</f>
        <v>0</v>
      </c>
      <c r="T34" s="620" cm="1">
        <f t="array" aca="1" ref="T34" ca="1">IF(AUTOEVENTO="Manual",ROUND(SUMPRODUCT((CÁLCULO!$M$15:$M$22=EVENTOS!$C34)*(OFFSET(CÁLCULO!$AA$15:$AA$22,0,T$13))),2),0)</f>
        <v>0</v>
      </c>
      <c r="U34" s="620" cm="1">
        <f t="array" aca="1" ref="U34" ca="1">IF(AUTOEVENTO="Manual",ROUND(SUMPRODUCT((CÁLCULO!$M$15:$M$22=EVENTOS!$C34)*(OFFSET(CÁLCULO!$AA$15:$AA$22,0,U$13))),2),0)</f>
        <v>0</v>
      </c>
      <c r="V34" s="620" cm="1">
        <f t="array" aca="1" ref="V34" ca="1">IF(AUTOEVENTO="Manual",ROUND(SUMPRODUCT((CÁLCULO!$M$15:$M$22=EVENTOS!$C34)*(OFFSET(CÁLCULO!$AA$15:$AA$22,0,V$13))),2),0)</f>
        <v>0</v>
      </c>
      <c r="W34" s="620" cm="1">
        <f t="array" aca="1" ref="W34" ca="1">IF(AUTOEVENTO="Manual",ROUND(SUMPRODUCT((CÁLCULO!$M$15:$M$22=EVENTOS!$C34)*(OFFSET(CÁLCULO!$AA$15:$AA$22,0,W$13))),2),0)</f>
        <v>0</v>
      </c>
      <c r="X34" s="620" cm="1">
        <f t="array" aca="1" ref="X34" ca="1">IF(AUTOEVENTO="Manual",ROUND(SUMPRODUCT((CÁLCULO!$M$15:$M$22=EVENTOS!$C34)*(OFFSET(CÁLCULO!$AA$15:$AA$22,0,X$13))),2),0)</f>
        <v>0</v>
      </c>
      <c r="Y34" s="620" cm="1">
        <f t="array" aca="1" ref="Y34" ca="1">IF(AUTOEVENTO="Manual",ROUND(SUMPRODUCT((CÁLCULO!$M$15:$M$22=EVENTOS!$C34)*(OFFSET(CÁLCULO!$AA$15:$AA$22,0,Y$13))),2),0)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IF(AUTOEVENTO="Manual",ROUND(SUMPRODUCT((CÁLCULO!$M$15:$M$22=EVENTOS!$C35)*(OFFSET(CÁLCULO!$AA$15:$AA$22,0,E$13))),2),0)</f>
        <v>0</v>
      </c>
      <c r="F35" s="183">
        <f ca="1">IF(AUTOEVENTO="Manual",ROUND(SUMPRODUCT((CÁLCULO!$M$15:$M$22=EVENTOS!$C35)*(OFFSET(CÁLCULO!$AA$15,0,1):OFFSET(CÁLCULO!$AL$22,0,-1))),2),0)</f>
        <v>0</v>
      </c>
      <c r="G35" s="621" t="str">
        <f t="shared" ca="1" si="5"/>
        <v/>
      </c>
      <c r="H35" s="620" cm="1">
        <f t="array" aca="1" ref="H35" ca="1">IF(AUTOEVENTO="Manual",ROUND(SUMPRODUCT((CÁLCULO!$M$15:$M$22=EVENTOS!$C35)*(OFFSET(CÁLCULO!$AA$15:$AA$22,0,H$13))),2),0)</f>
        <v>0</v>
      </c>
      <c r="I35" s="620" cm="1">
        <f t="array" aca="1" ref="I35" ca="1">IF(AUTOEVENTO="Manual",ROUND(SUMPRODUCT((CÁLCULO!$M$15:$M$22=EVENTOS!$C35)*(OFFSET(CÁLCULO!$AA$15:$AA$22,0,I$13))),2),0)</f>
        <v>0</v>
      </c>
      <c r="J35" s="620" cm="1">
        <f t="array" aca="1" ref="J35" ca="1">IF(AUTOEVENTO="Manual",ROUND(SUMPRODUCT((CÁLCULO!$M$15:$M$22=EVENTOS!$C35)*(OFFSET(CÁLCULO!$AA$15:$AA$22,0,J$13))),2),0)</f>
        <v>0</v>
      </c>
      <c r="K35" s="620" cm="1">
        <f t="array" aca="1" ref="K35" ca="1">IF(AUTOEVENTO="Manual",ROUND(SUMPRODUCT((CÁLCULO!$M$15:$M$22=EVENTOS!$C35)*(OFFSET(CÁLCULO!$AA$15:$AA$22,0,K$13))),2),0)</f>
        <v>0</v>
      </c>
      <c r="L35" s="620" cm="1">
        <f t="array" aca="1" ref="L35" ca="1">IF(AUTOEVENTO="Manual",ROUND(SUMPRODUCT((CÁLCULO!$M$15:$M$22=EVENTOS!$C35)*(OFFSET(CÁLCULO!$AA$15:$AA$22,0,L$13))),2),0)</f>
        <v>0</v>
      </c>
      <c r="M35" s="620" cm="1">
        <f t="array" aca="1" ref="M35" ca="1">IF(AUTOEVENTO="Manual",ROUND(SUMPRODUCT((CÁLCULO!$M$15:$M$22=EVENTOS!$C35)*(OFFSET(CÁLCULO!$AA$15:$AA$22,0,M$13))),2),0)</f>
        <v>0</v>
      </c>
      <c r="N35" s="620" cm="1">
        <f t="array" aca="1" ref="N35" ca="1">IF(AUTOEVENTO="Manual",ROUND(SUMPRODUCT((CÁLCULO!$M$15:$M$22=EVENTOS!$C35)*(OFFSET(CÁLCULO!$AA$15:$AA$22,0,N$13))),2),0)</f>
        <v>0</v>
      </c>
      <c r="O35" s="620" cm="1">
        <f t="array" aca="1" ref="O35" ca="1">IF(AUTOEVENTO="Manual",ROUND(SUMPRODUCT((CÁLCULO!$M$15:$M$22=EVENTOS!$C35)*(OFFSET(CÁLCULO!$AA$15:$AA$22,0,O$13))),2),0)</f>
        <v>0</v>
      </c>
      <c r="P35" s="620" cm="1">
        <f t="array" aca="1" ref="P35" ca="1">IF(AUTOEVENTO="Manual",ROUND(SUMPRODUCT((CÁLCULO!$M$15:$M$22=EVENTOS!$C35)*(OFFSET(CÁLCULO!$AA$15:$AA$22,0,P$13))),2),0)</f>
        <v>0</v>
      </c>
      <c r="Q35" s="620" cm="1">
        <f t="array" aca="1" ref="Q35" ca="1">IF(AUTOEVENTO="Manual",ROUND(SUMPRODUCT((CÁLCULO!$M$15:$M$22=EVENTOS!$C35)*(OFFSET(CÁLCULO!$AA$15:$AA$22,0,Q$13))),2),0)</f>
        <v>0</v>
      </c>
      <c r="R35" s="620" cm="1">
        <f t="array" aca="1" ref="R35" ca="1">IF(AUTOEVENTO="Manual",ROUND(SUMPRODUCT((CÁLCULO!$M$15:$M$22=EVENTOS!$C35)*(OFFSET(CÁLCULO!$AA$15:$AA$22,0,R$13))),2),0)</f>
        <v>0</v>
      </c>
      <c r="S35" s="620" cm="1">
        <f t="array" aca="1" ref="S35" ca="1">IF(AUTOEVENTO="Manual",ROUND(SUMPRODUCT((CÁLCULO!$M$15:$M$22=EVENTOS!$C35)*(OFFSET(CÁLCULO!$AA$15:$AA$22,0,S$13))),2),0)</f>
        <v>0</v>
      </c>
      <c r="T35" s="620" cm="1">
        <f t="array" aca="1" ref="T35" ca="1">IF(AUTOEVENTO="Manual",ROUND(SUMPRODUCT((CÁLCULO!$M$15:$M$22=EVENTOS!$C35)*(OFFSET(CÁLCULO!$AA$15:$AA$22,0,T$13))),2),0)</f>
        <v>0</v>
      </c>
      <c r="U35" s="620" cm="1">
        <f t="array" aca="1" ref="U35" ca="1">IF(AUTOEVENTO="Manual",ROUND(SUMPRODUCT((CÁLCULO!$M$15:$M$22=EVENTOS!$C35)*(OFFSET(CÁLCULO!$AA$15:$AA$22,0,U$13))),2),0)</f>
        <v>0</v>
      </c>
      <c r="V35" s="620" cm="1">
        <f t="array" aca="1" ref="V35" ca="1">IF(AUTOEVENTO="Manual",ROUND(SUMPRODUCT((CÁLCULO!$M$15:$M$22=EVENTOS!$C35)*(OFFSET(CÁLCULO!$AA$15:$AA$22,0,V$13))),2),0)</f>
        <v>0</v>
      </c>
      <c r="W35" s="620" cm="1">
        <f t="array" aca="1" ref="W35" ca="1">IF(AUTOEVENTO="Manual",ROUND(SUMPRODUCT((CÁLCULO!$M$15:$M$22=EVENTOS!$C35)*(OFFSET(CÁLCULO!$AA$15:$AA$22,0,W$13))),2),0)</f>
        <v>0</v>
      </c>
      <c r="X35" s="620" cm="1">
        <f t="array" aca="1" ref="X35" ca="1">IF(AUTOEVENTO="Manual",ROUND(SUMPRODUCT((CÁLCULO!$M$15:$M$22=EVENTOS!$C35)*(OFFSET(CÁLCULO!$AA$15:$AA$22,0,X$13))),2),0)</f>
        <v>0</v>
      </c>
      <c r="Y35" s="620" cm="1">
        <f t="array" aca="1" ref="Y35" ca="1">IF(AUTOEVENTO="Manual",ROUND(SUMPRODUCT((CÁLCULO!$M$15:$M$22=EVENTOS!$C35)*(OFFSET(CÁLCULO!$AA$15:$AA$22,0,Y$13))),2),0)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IF(AUTOEVENTO="Manual",ROUND(SUMPRODUCT((CÁLCULO!$M$15:$M$22=EVENTOS!$C36)*(OFFSET(CÁLCULO!$AA$15:$AA$22,0,E$13))),2),0)</f>
        <v>0</v>
      </c>
      <c r="F36" s="183">
        <f ca="1">IF(AUTOEVENTO="Manual",ROUND(SUMPRODUCT((CÁLCULO!$M$15:$M$22=EVENTOS!$C36)*(OFFSET(CÁLCULO!$AA$15,0,1):OFFSET(CÁLCULO!$AL$22,0,-1))),2),0)</f>
        <v>0</v>
      </c>
      <c r="G36" s="621" t="str">
        <f t="shared" ca="1" si="5"/>
        <v/>
      </c>
      <c r="H36" s="620" cm="1">
        <f t="array" aca="1" ref="H36" ca="1">IF(AUTOEVENTO="Manual",ROUND(SUMPRODUCT((CÁLCULO!$M$15:$M$22=EVENTOS!$C36)*(OFFSET(CÁLCULO!$AA$15:$AA$22,0,H$13))),2),0)</f>
        <v>0</v>
      </c>
      <c r="I36" s="620" cm="1">
        <f t="array" aca="1" ref="I36" ca="1">IF(AUTOEVENTO="Manual",ROUND(SUMPRODUCT((CÁLCULO!$M$15:$M$22=EVENTOS!$C36)*(OFFSET(CÁLCULO!$AA$15:$AA$22,0,I$13))),2),0)</f>
        <v>0</v>
      </c>
      <c r="J36" s="620" cm="1">
        <f t="array" aca="1" ref="J36" ca="1">IF(AUTOEVENTO="Manual",ROUND(SUMPRODUCT((CÁLCULO!$M$15:$M$22=EVENTOS!$C36)*(OFFSET(CÁLCULO!$AA$15:$AA$22,0,J$13))),2),0)</f>
        <v>0</v>
      </c>
      <c r="K36" s="620" cm="1">
        <f t="array" aca="1" ref="K36" ca="1">IF(AUTOEVENTO="Manual",ROUND(SUMPRODUCT((CÁLCULO!$M$15:$M$22=EVENTOS!$C36)*(OFFSET(CÁLCULO!$AA$15:$AA$22,0,K$13))),2),0)</f>
        <v>0</v>
      </c>
      <c r="L36" s="620" cm="1">
        <f t="array" aca="1" ref="L36" ca="1">IF(AUTOEVENTO="Manual",ROUND(SUMPRODUCT((CÁLCULO!$M$15:$M$22=EVENTOS!$C36)*(OFFSET(CÁLCULO!$AA$15:$AA$22,0,L$13))),2),0)</f>
        <v>0</v>
      </c>
      <c r="M36" s="620" cm="1">
        <f t="array" aca="1" ref="M36" ca="1">IF(AUTOEVENTO="Manual",ROUND(SUMPRODUCT((CÁLCULO!$M$15:$M$22=EVENTOS!$C36)*(OFFSET(CÁLCULO!$AA$15:$AA$22,0,M$13))),2),0)</f>
        <v>0</v>
      </c>
      <c r="N36" s="620" cm="1">
        <f t="array" aca="1" ref="N36" ca="1">IF(AUTOEVENTO="Manual",ROUND(SUMPRODUCT((CÁLCULO!$M$15:$M$22=EVENTOS!$C36)*(OFFSET(CÁLCULO!$AA$15:$AA$22,0,N$13))),2),0)</f>
        <v>0</v>
      </c>
      <c r="O36" s="620" cm="1">
        <f t="array" aca="1" ref="O36" ca="1">IF(AUTOEVENTO="Manual",ROUND(SUMPRODUCT((CÁLCULO!$M$15:$M$22=EVENTOS!$C36)*(OFFSET(CÁLCULO!$AA$15:$AA$22,0,O$13))),2),0)</f>
        <v>0</v>
      </c>
      <c r="P36" s="620" cm="1">
        <f t="array" aca="1" ref="P36" ca="1">IF(AUTOEVENTO="Manual",ROUND(SUMPRODUCT((CÁLCULO!$M$15:$M$22=EVENTOS!$C36)*(OFFSET(CÁLCULO!$AA$15:$AA$22,0,P$13))),2),0)</f>
        <v>0</v>
      </c>
      <c r="Q36" s="620" cm="1">
        <f t="array" aca="1" ref="Q36" ca="1">IF(AUTOEVENTO="Manual",ROUND(SUMPRODUCT((CÁLCULO!$M$15:$M$22=EVENTOS!$C36)*(OFFSET(CÁLCULO!$AA$15:$AA$22,0,Q$13))),2),0)</f>
        <v>0</v>
      </c>
      <c r="R36" s="620" cm="1">
        <f t="array" aca="1" ref="R36" ca="1">IF(AUTOEVENTO="Manual",ROUND(SUMPRODUCT((CÁLCULO!$M$15:$M$22=EVENTOS!$C36)*(OFFSET(CÁLCULO!$AA$15:$AA$22,0,R$13))),2),0)</f>
        <v>0</v>
      </c>
      <c r="S36" s="620" cm="1">
        <f t="array" aca="1" ref="S36" ca="1">IF(AUTOEVENTO="Manual",ROUND(SUMPRODUCT((CÁLCULO!$M$15:$M$22=EVENTOS!$C36)*(OFFSET(CÁLCULO!$AA$15:$AA$22,0,S$13))),2),0)</f>
        <v>0</v>
      </c>
      <c r="T36" s="620" cm="1">
        <f t="array" aca="1" ref="T36" ca="1">IF(AUTOEVENTO="Manual",ROUND(SUMPRODUCT((CÁLCULO!$M$15:$M$22=EVENTOS!$C36)*(OFFSET(CÁLCULO!$AA$15:$AA$22,0,T$13))),2),0)</f>
        <v>0</v>
      </c>
      <c r="U36" s="620" cm="1">
        <f t="array" aca="1" ref="U36" ca="1">IF(AUTOEVENTO="Manual",ROUND(SUMPRODUCT((CÁLCULO!$M$15:$M$22=EVENTOS!$C36)*(OFFSET(CÁLCULO!$AA$15:$AA$22,0,U$13))),2),0)</f>
        <v>0</v>
      </c>
      <c r="V36" s="620" cm="1">
        <f t="array" aca="1" ref="V36" ca="1">IF(AUTOEVENTO="Manual",ROUND(SUMPRODUCT((CÁLCULO!$M$15:$M$22=EVENTOS!$C36)*(OFFSET(CÁLCULO!$AA$15:$AA$22,0,V$13))),2),0)</f>
        <v>0</v>
      </c>
      <c r="W36" s="620" cm="1">
        <f t="array" aca="1" ref="W36" ca="1">IF(AUTOEVENTO="Manual",ROUND(SUMPRODUCT((CÁLCULO!$M$15:$M$22=EVENTOS!$C36)*(OFFSET(CÁLCULO!$AA$15:$AA$22,0,W$13))),2),0)</f>
        <v>0</v>
      </c>
      <c r="X36" s="620" cm="1">
        <f t="array" aca="1" ref="X36" ca="1">IF(AUTOEVENTO="Manual",ROUND(SUMPRODUCT((CÁLCULO!$M$15:$M$22=EVENTOS!$C36)*(OFFSET(CÁLCULO!$AA$15:$AA$22,0,X$13))),2),0)</f>
        <v>0</v>
      </c>
      <c r="Y36" s="620" cm="1">
        <f t="array" aca="1" ref="Y36" ca="1">IF(AUTOEVENTO="Manual",ROUND(SUMPRODUCT((CÁLCULO!$M$15:$M$22=EVENTOS!$C36)*(OFFSET(CÁLCULO!$AA$15:$AA$22,0,Y$13))),2),0)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IF(AUTOEVENTO="Manual",ROUND(SUMPRODUCT((CÁLCULO!$M$15:$M$22=EVENTOS!$C37)*(OFFSET(CÁLCULO!$AA$15:$AA$22,0,E$13))),2),0)</f>
        <v>0</v>
      </c>
      <c r="F37" s="183">
        <f ca="1">IF(AUTOEVENTO="Manual",ROUND(SUMPRODUCT((CÁLCULO!$M$15:$M$22=EVENTOS!$C37)*(OFFSET(CÁLCULO!$AA$15,0,1):OFFSET(CÁLCULO!$AL$22,0,-1))),2),0)</f>
        <v>0</v>
      </c>
      <c r="G37" s="621" t="str">
        <f t="shared" ca="1" si="5"/>
        <v/>
      </c>
      <c r="H37" s="620" cm="1">
        <f t="array" aca="1" ref="H37" ca="1">IF(AUTOEVENTO="Manual",ROUND(SUMPRODUCT((CÁLCULO!$M$15:$M$22=EVENTOS!$C37)*(OFFSET(CÁLCULO!$AA$15:$AA$22,0,H$13))),2),0)</f>
        <v>0</v>
      </c>
      <c r="I37" s="620" cm="1">
        <f t="array" aca="1" ref="I37" ca="1">IF(AUTOEVENTO="Manual",ROUND(SUMPRODUCT((CÁLCULO!$M$15:$M$22=EVENTOS!$C37)*(OFFSET(CÁLCULO!$AA$15:$AA$22,0,I$13))),2),0)</f>
        <v>0</v>
      </c>
      <c r="J37" s="620" cm="1">
        <f t="array" aca="1" ref="J37" ca="1">IF(AUTOEVENTO="Manual",ROUND(SUMPRODUCT((CÁLCULO!$M$15:$M$22=EVENTOS!$C37)*(OFFSET(CÁLCULO!$AA$15:$AA$22,0,J$13))),2),0)</f>
        <v>0</v>
      </c>
      <c r="K37" s="620" cm="1">
        <f t="array" aca="1" ref="K37" ca="1">IF(AUTOEVENTO="Manual",ROUND(SUMPRODUCT((CÁLCULO!$M$15:$M$22=EVENTOS!$C37)*(OFFSET(CÁLCULO!$AA$15:$AA$22,0,K$13))),2),0)</f>
        <v>0</v>
      </c>
      <c r="L37" s="620" cm="1">
        <f t="array" aca="1" ref="L37" ca="1">IF(AUTOEVENTO="Manual",ROUND(SUMPRODUCT((CÁLCULO!$M$15:$M$22=EVENTOS!$C37)*(OFFSET(CÁLCULO!$AA$15:$AA$22,0,L$13))),2),0)</f>
        <v>0</v>
      </c>
      <c r="M37" s="620" cm="1">
        <f t="array" aca="1" ref="M37" ca="1">IF(AUTOEVENTO="Manual",ROUND(SUMPRODUCT((CÁLCULO!$M$15:$M$22=EVENTOS!$C37)*(OFFSET(CÁLCULO!$AA$15:$AA$22,0,M$13))),2),0)</f>
        <v>0</v>
      </c>
      <c r="N37" s="620" cm="1">
        <f t="array" aca="1" ref="N37" ca="1">IF(AUTOEVENTO="Manual",ROUND(SUMPRODUCT((CÁLCULO!$M$15:$M$22=EVENTOS!$C37)*(OFFSET(CÁLCULO!$AA$15:$AA$22,0,N$13))),2),0)</f>
        <v>0</v>
      </c>
      <c r="O37" s="620" cm="1">
        <f t="array" aca="1" ref="O37" ca="1">IF(AUTOEVENTO="Manual",ROUND(SUMPRODUCT((CÁLCULO!$M$15:$M$22=EVENTOS!$C37)*(OFFSET(CÁLCULO!$AA$15:$AA$22,0,O$13))),2),0)</f>
        <v>0</v>
      </c>
      <c r="P37" s="620" cm="1">
        <f t="array" aca="1" ref="P37" ca="1">IF(AUTOEVENTO="Manual",ROUND(SUMPRODUCT((CÁLCULO!$M$15:$M$22=EVENTOS!$C37)*(OFFSET(CÁLCULO!$AA$15:$AA$22,0,P$13))),2),0)</f>
        <v>0</v>
      </c>
      <c r="Q37" s="620" cm="1">
        <f t="array" aca="1" ref="Q37" ca="1">IF(AUTOEVENTO="Manual",ROUND(SUMPRODUCT((CÁLCULO!$M$15:$M$22=EVENTOS!$C37)*(OFFSET(CÁLCULO!$AA$15:$AA$22,0,Q$13))),2),0)</f>
        <v>0</v>
      </c>
      <c r="R37" s="620" cm="1">
        <f t="array" aca="1" ref="R37" ca="1">IF(AUTOEVENTO="Manual",ROUND(SUMPRODUCT((CÁLCULO!$M$15:$M$22=EVENTOS!$C37)*(OFFSET(CÁLCULO!$AA$15:$AA$22,0,R$13))),2),0)</f>
        <v>0</v>
      </c>
      <c r="S37" s="620" cm="1">
        <f t="array" aca="1" ref="S37" ca="1">IF(AUTOEVENTO="Manual",ROUND(SUMPRODUCT((CÁLCULO!$M$15:$M$22=EVENTOS!$C37)*(OFFSET(CÁLCULO!$AA$15:$AA$22,0,S$13))),2),0)</f>
        <v>0</v>
      </c>
      <c r="T37" s="620" cm="1">
        <f t="array" aca="1" ref="T37" ca="1">IF(AUTOEVENTO="Manual",ROUND(SUMPRODUCT((CÁLCULO!$M$15:$M$22=EVENTOS!$C37)*(OFFSET(CÁLCULO!$AA$15:$AA$22,0,T$13))),2),0)</f>
        <v>0</v>
      </c>
      <c r="U37" s="620" cm="1">
        <f t="array" aca="1" ref="U37" ca="1">IF(AUTOEVENTO="Manual",ROUND(SUMPRODUCT((CÁLCULO!$M$15:$M$22=EVENTOS!$C37)*(OFFSET(CÁLCULO!$AA$15:$AA$22,0,U$13))),2),0)</f>
        <v>0</v>
      </c>
      <c r="V37" s="620" cm="1">
        <f t="array" aca="1" ref="V37" ca="1">IF(AUTOEVENTO="Manual",ROUND(SUMPRODUCT((CÁLCULO!$M$15:$M$22=EVENTOS!$C37)*(OFFSET(CÁLCULO!$AA$15:$AA$22,0,V$13))),2),0)</f>
        <v>0</v>
      </c>
      <c r="W37" s="620" cm="1">
        <f t="array" aca="1" ref="W37" ca="1">IF(AUTOEVENTO="Manual",ROUND(SUMPRODUCT((CÁLCULO!$M$15:$M$22=EVENTOS!$C37)*(OFFSET(CÁLCULO!$AA$15:$AA$22,0,W$13))),2),0)</f>
        <v>0</v>
      </c>
      <c r="X37" s="620" cm="1">
        <f t="array" aca="1" ref="X37" ca="1">IF(AUTOEVENTO="Manual",ROUND(SUMPRODUCT((CÁLCULO!$M$15:$M$22=EVENTOS!$C37)*(OFFSET(CÁLCULO!$AA$15:$AA$22,0,X$13))),2),0)</f>
        <v>0</v>
      </c>
      <c r="Y37" s="620" cm="1">
        <f t="array" aca="1" ref="Y37" ca="1">IF(AUTOEVENTO="Manual",ROUND(SUMPRODUCT((CÁLCULO!$M$15:$M$22=EVENTOS!$C37)*(OFFSET(CÁLCULO!$AA$15:$AA$22,0,Y$13))),2),0)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IF(AUTOEVENTO="Manual",ROUND(SUMPRODUCT((CÁLCULO!$M$15:$M$22=EVENTOS!$C38)*(OFFSET(CÁLCULO!$AA$15:$AA$22,0,E$13))),2),0)</f>
        <v>0</v>
      </c>
      <c r="F38" s="183">
        <f ca="1">IF(AUTOEVENTO="Manual",ROUND(SUMPRODUCT((CÁLCULO!$M$15:$M$22=EVENTOS!$C38)*(OFFSET(CÁLCULO!$AA$15,0,1):OFFSET(CÁLCULO!$AL$22,0,-1))),2),0)</f>
        <v>0</v>
      </c>
      <c r="G38" s="621" t="str">
        <f t="shared" ca="1" si="5"/>
        <v/>
      </c>
      <c r="H38" s="620" cm="1">
        <f t="array" aca="1" ref="H38" ca="1">IF(AUTOEVENTO="Manual",ROUND(SUMPRODUCT((CÁLCULO!$M$15:$M$22=EVENTOS!$C38)*(OFFSET(CÁLCULO!$AA$15:$AA$22,0,H$13))),2),0)</f>
        <v>0</v>
      </c>
      <c r="I38" s="620" cm="1">
        <f t="array" aca="1" ref="I38" ca="1">IF(AUTOEVENTO="Manual",ROUND(SUMPRODUCT((CÁLCULO!$M$15:$M$22=EVENTOS!$C38)*(OFFSET(CÁLCULO!$AA$15:$AA$22,0,I$13))),2),0)</f>
        <v>0</v>
      </c>
      <c r="J38" s="620" cm="1">
        <f t="array" aca="1" ref="J38" ca="1">IF(AUTOEVENTO="Manual",ROUND(SUMPRODUCT((CÁLCULO!$M$15:$M$22=EVENTOS!$C38)*(OFFSET(CÁLCULO!$AA$15:$AA$22,0,J$13))),2),0)</f>
        <v>0</v>
      </c>
      <c r="K38" s="620" cm="1">
        <f t="array" aca="1" ref="K38" ca="1">IF(AUTOEVENTO="Manual",ROUND(SUMPRODUCT((CÁLCULO!$M$15:$M$22=EVENTOS!$C38)*(OFFSET(CÁLCULO!$AA$15:$AA$22,0,K$13))),2),0)</f>
        <v>0</v>
      </c>
      <c r="L38" s="620" cm="1">
        <f t="array" aca="1" ref="L38" ca="1">IF(AUTOEVENTO="Manual",ROUND(SUMPRODUCT((CÁLCULO!$M$15:$M$22=EVENTOS!$C38)*(OFFSET(CÁLCULO!$AA$15:$AA$22,0,L$13))),2),0)</f>
        <v>0</v>
      </c>
      <c r="M38" s="620" cm="1">
        <f t="array" aca="1" ref="M38" ca="1">IF(AUTOEVENTO="Manual",ROUND(SUMPRODUCT((CÁLCULO!$M$15:$M$22=EVENTOS!$C38)*(OFFSET(CÁLCULO!$AA$15:$AA$22,0,M$13))),2),0)</f>
        <v>0</v>
      </c>
      <c r="N38" s="620" cm="1">
        <f t="array" aca="1" ref="N38" ca="1">IF(AUTOEVENTO="Manual",ROUND(SUMPRODUCT((CÁLCULO!$M$15:$M$22=EVENTOS!$C38)*(OFFSET(CÁLCULO!$AA$15:$AA$22,0,N$13))),2),0)</f>
        <v>0</v>
      </c>
      <c r="O38" s="620" cm="1">
        <f t="array" aca="1" ref="O38" ca="1">IF(AUTOEVENTO="Manual",ROUND(SUMPRODUCT((CÁLCULO!$M$15:$M$22=EVENTOS!$C38)*(OFFSET(CÁLCULO!$AA$15:$AA$22,0,O$13))),2),0)</f>
        <v>0</v>
      </c>
      <c r="P38" s="620" cm="1">
        <f t="array" aca="1" ref="P38" ca="1">IF(AUTOEVENTO="Manual",ROUND(SUMPRODUCT((CÁLCULO!$M$15:$M$22=EVENTOS!$C38)*(OFFSET(CÁLCULO!$AA$15:$AA$22,0,P$13))),2),0)</f>
        <v>0</v>
      </c>
      <c r="Q38" s="620" cm="1">
        <f t="array" aca="1" ref="Q38" ca="1">IF(AUTOEVENTO="Manual",ROUND(SUMPRODUCT((CÁLCULO!$M$15:$M$22=EVENTOS!$C38)*(OFFSET(CÁLCULO!$AA$15:$AA$22,0,Q$13))),2),0)</f>
        <v>0</v>
      </c>
      <c r="R38" s="620" cm="1">
        <f t="array" aca="1" ref="R38" ca="1">IF(AUTOEVENTO="Manual",ROUND(SUMPRODUCT((CÁLCULO!$M$15:$M$22=EVENTOS!$C38)*(OFFSET(CÁLCULO!$AA$15:$AA$22,0,R$13))),2),0)</f>
        <v>0</v>
      </c>
      <c r="S38" s="620" cm="1">
        <f t="array" aca="1" ref="S38" ca="1">IF(AUTOEVENTO="Manual",ROUND(SUMPRODUCT((CÁLCULO!$M$15:$M$22=EVENTOS!$C38)*(OFFSET(CÁLCULO!$AA$15:$AA$22,0,S$13))),2),0)</f>
        <v>0</v>
      </c>
      <c r="T38" s="620" cm="1">
        <f t="array" aca="1" ref="T38" ca="1">IF(AUTOEVENTO="Manual",ROUND(SUMPRODUCT((CÁLCULO!$M$15:$M$22=EVENTOS!$C38)*(OFFSET(CÁLCULO!$AA$15:$AA$22,0,T$13))),2),0)</f>
        <v>0</v>
      </c>
      <c r="U38" s="620" cm="1">
        <f t="array" aca="1" ref="U38" ca="1">IF(AUTOEVENTO="Manual",ROUND(SUMPRODUCT((CÁLCULO!$M$15:$M$22=EVENTOS!$C38)*(OFFSET(CÁLCULO!$AA$15:$AA$22,0,U$13))),2),0)</f>
        <v>0</v>
      </c>
      <c r="V38" s="620" cm="1">
        <f t="array" aca="1" ref="V38" ca="1">IF(AUTOEVENTO="Manual",ROUND(SUMPRODUCT((CÁLCULO!$M$15:$M$22=EVENTOS!$C38)*(OFFSET(CÁLCULO!$AA$15:$AA$22,0,V$13))),2),0)</f>
        <v>0</v>
      </c>
      <c r="W38" s="620" cm="1">
        <f t="array" aca="1" ref="W38" ca="1">IF(AUTOEVENTO="Manual",ROUND(SUMPRODUCT((CÁLCULO!$M$15:$M$22=EVENTOS!$C38)*(OFFSET(CÁLCULO!$AA$15:$AA$22,0,W$13))),2),0)</f>
        <v>0</v>
      </c>
      <c r="X38" s="620" cm="1">
        <f t="array" aca="1" ref="X38" ca="1">IF(AUTOEVENTO="Manual",ROUND(SUMPRODUCT((CÁLCULO!$M$15:$M$22=EVENTOS!$C38)*(OFFSET(CÁLCULO!$AA$15:$AA$22,0,X$13))),2),0)</f>
        <v>0</v>
      </c>
      <c r="Y38" s="620" cm="1">
        <f t="array" aca="1" ref="Y38" ca="1">IF(AUTOEVENTO="Manual",ROUND(SUMPRODUCT((CÁLCULO!$M$15:$M$22=EVENTOS!$C38)*(OFFSET(CÁLCULO!$AA$15:$AA$22,0,Y$13))),2),0)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IF(AUTOEVENTO="Manual",ROUND(SUMPRODUCT((CÁLCULO!$M$15:$M$22=EVENTOS!$C39)*(OFFSET(CÁLCULO!$AA$15:$AA$22,0,E$13))),2),0)</f>
        <v>0</v>
      </c>
      <c r="F39" s="183">
        <f ca="1">IF(AUTOEVENTO="Manual",ROUND(SUMPRODUCT((CÁLCULO!$M$15:$M$22=EVENTOS!$C39)*(OFFSET(CÁLCULO!$AA$15,0,1):OFFSET(CÁLCULO!$AL$22,0,-1))),2),0)</f>
        <v>0</v>
      </c>
      <c r="G39" s="621" t="str">
        <f t="shared" ca="1" si="5"/>
        <v/>
      </c>
      <c r="H39" s="620" cm="1">
        <f t="array" aca="1" ref="H39" ca="1">IF(AUTOEVENTO="Manual",ROUND(SUMPRODUCT((CÁLCULO!$M$15:$M$22=EVENTOS!$C39)*(OFFSET(CÁLCULO!$AA$15:$AA$22,0,H$13))),2),0)</f>
        <v>0</v>
      </c>
      <c r="I39" s="620" cm="1">
        <f t="array" aca="1" ref="I39" ca="1">IF(AUTOEVENTO="Manual",ROUND(SUMPRODUCT((CÁLCULO!$M$15:$M$22=EVENTOS!$C39)*(OFFSET(CÁLCULO!$AA$15:$AA$22,0,I$13))),2),0)</f>
        <v>0</v>
      </c>
      <c r="J39" s="620" cm="1">
        <f t="array" aca="1" ref="J39" ca="1">IF(AUTOEVENTO="Manual",ROUND(SUMPRODUCT((CÁLCULO!$M$15:$M$22=EVENTOS!$C39)*(OFFSET(CÁLCULO!$AA$15:$AA$22,0,J$13))),2),0)</f>
        <v>0</v>
      </c>
      <c r="K39" s="620" cm="1">
        <f t="array" aca="1" ref="K39" ca="1">IF(AUTOEVENTO="Manual",ROUND(SUMPRODUCT((CÁLCULO!$M$15:$M$22=EVENTOS!$C39)*(OFFSET(CÁLCULO!$AA$15:$AA$22,0,K$13))),2),0)</f>
        <v>0</v>
      </c>
      <c r="L39" s="620" cm="1">
        <f t="array" aca="1" ref="L39" ca="1">IF(AUTOEVENTO="Manual",ROUND(SUMPRODUCT((CÁLCULO!$M$15:$M$22=EVENTOS!$C39)*(OFFSET(CÁLCULO!$AA$15:$AA$22,0,L$13))),2),0)</f>
        <v>0</v>
      </c>
      <c r="M39" s="620" cm="1">
        <f t="array" aca="1" ref="M39" ca="1">IF(AUTOEVENTO="Manual",ROUND(SUMPRODUCT((CÁLCULO!$M$15:$M$22=EVENTOS!$C39)*(OFFSET(CÁLCULO!$AA$15:$AA$22,0,M$13))),2),0)</f>
        <v>0</v>
      </c>
      <c r="N39" s="620" cm="1">
        <f t="array" aca="1" ref="N39" ca="1">IF(AUTOEVENTO="Manual",ROUND(SUMPRODUCT((CÁLCULO!$M$15:$M$22=EVENTOS!$C39)*(OFFSET(CÁLCULO!$AA$15:$AA$22,0,N$13))),2),0)</f>
        <v>0</v>
      </c>
      <c r="O39" s="620" cm="1">
        <f t="array" aca="1" ref="O39" ca="1">IF(AUTOEVENTO="Manual",ROUND(SUMPRODUCT((CÁLCULO!$M$15:$M$22=EVENTOS!$C39)*(OFFSET(CÁLCULO!$AA$15:$AA$22,0,O$13))),2),0)</f>
        <v>0</v>
      </c>
      <c r="P39" s="620" cm="1">
        <f t="array" aca="1" ref="P39" ca="1">IF(AUTOEVENTO="Manual",ROUND(SUMPRODUCT((CÁLCULO!$M$15:$M$22=EVENTOS!$C39)*(OFFSET(CÁLCULO!$AA$15:$AA$22,0,P$13))),2),0)</f>
        <v>0</v>
      </c>
      <c r="Q39" s="620" cm="1">
        <f t="array" aca="1" ref="Q39" ca="1">IF(AUTOEVENTO="Manual",ROUND(SUMPRODUCT((CÁLCULO!$M$15:$M$22=EVENTOS!$C39)*(OFFSET(CÁLCULO!$AA$15:$AA$22,0,Q$13))),2),0)</f>
        <v>0</v>
      </c>
      <c r="R39" s="620" cm="1">
        <f t="array" aca="1" ref="R39" ca="1">IF(AUTOEVENTO="Manual",ROUND(SUMPRODUCT((CÁLCULO!$M$15:$M$22=EVENTOS!$C39)*(OFFSET(CÁLCULO!$AA$15:$AA$22,0,R$13))),2),0)</f>
        <v>0</v>
      </c>
      <c r="S39" s="620" cm="1">
        <f t="array" aca="1" ref="S39" ca="1">IF(AUTOEVENTO="Manual",ROUND(SUMPRODUCT((CÁLCULO!$M$15:$M$22=EVENTOS!$C39)*(OFFSET(CÁLCULO!$AA$15:$AA$22,0,S$13))),2),0)</f>
        <v>0</v>
      </c>
      <c r="T39" s="620" cm="1">
        <f t="array" aca="1" ref="T39" ca="1">IF(AUTOEVENTO="Manual",ROUND(SUMPRODUCT((CÁLCULO!$M$15:$M$22=EVENTOS!$C39)*(OFFSET(CÁLCULO!$AA$15:$AA$22,0,T$13))),2),0)</f>
        <v>0</v>
      </c>
      <c r="U39" s="620" cm="1">
        <f t="array" aca="1" ref="U39" ca="1">IF(AUTOEVENTO="Manual",ROUND(SUMPRODUCT((CÁLCULO!$M$15:$M$22=EVENTOS!$C39)*(OFFSET(CÁLCULO!$AA$15:$AA$22,0,U$13))),2),0)</f>
        <v>0</v>
      </c>
      <c r="V39" s="620" cm="1">
        <f t="array" aca="1" ref="V39" ca="1">IF(AUTOEVENTO="Manual",ROUND(SUMPRODUCT((CÁLCULO!$M$15:$M$22=EVENTOS!$C39)*(OFFSET(CÁLCULO!$AA$15:$AA$22,0,V$13))),2),0)</f>
        <v>0</v>
      </c>
      <c r="W39" s="620" cm="1">
        <f t="array" aca="1" ref="W39" ca="1">IF(AUTOEVENTO="Manual",ROUND(SUMPRODUCT((CÁLCULO!$M$15:$M$22=EVENTOS!$C39)*(OFFSET(CÁLCULO!$AA$15:$AA$22,0,W$13))),2),0)</f>
        <v>0</v>
      </c>
      <c r="X39" s="620" cm="1">
        <f t="array" aca="1" ref="X39" ca="1">IF(AUTOEVENTO="Manual",ROUND(SUMPRODUCT((CÁLCULO!$M$15:$M$22=EVENTOS!$C39)*(OFFSET(CÁLCULO!$AA$15:$AA$22,0,X$13))),2),0)</f>
        <v>0</v>
      </c>
      <c r="Y39" s="620" cm="1">
        <f t="array" aca="1" ref="Y39" ca="1">IF(AUTOEVENTO="Manual",ROUND(SUMPRODUCT((CÁLCULO!$M$15:$M$22=EVENTOS!$C39)*(OFFSET(CÁLCULO!$AA$15:$AA$22,0,Y$13))),2),0)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IF(AUTOEVENTO="Manual",ROUND(SUMPRODUCT((CÁLCULO!$M$15:$M$22=EVENTOS!$C40)*(OFFSET(CÁLCULO!$AA$15:$AA$22,0,E$13))),2),0)</f>
        <v>0</v>
      </c>
      <c r="F40" s="183">
        <f ca="1">IF(AUTOEVENTO="Manual",ROUND(SUMPRODUCT((CÁLCULO!$M$15:$M$22=EVENTOS!$C40)*(OFFSET(CÁLCULO!$AA$15,0,1):OFFSET(CÁLCULO!$AL$22,0,-1))),2),0)</f>
        <v>0</v>
      </c>
      <c r="G40" s="621" t="str">
        <f t="shared" ca="1" si="5"/>
        <v/>
      </c>
      <c r="H40" s="620" cm="1">
        <f t="array" aca="1" ref="H40" ca="1">IF(AUTOEVENTO="Manual",ROUND(SUMPRODUCT((CÁLCULO!$M$15:$M$22=EVENTOS!$C40)*(OFFSET(CÁLCULO!$AA$15:$AA$22,0,H$13))),2),0)</f>
        <v>0</v>
      </c>
      <c r="I40" s="620" cm="1">
        <f t="array" aca="1" ref="I40" ca="1">IF(AUTOEVENTO="Manual",ROUND(SUMPRODUCT((CÁLCULO!$M$15:$M$22=EVENTOS!$C40)*(OFFSET(CÁLCULO!$AA$15:$AA$22,0,I$13))),2),0)</f>
        <v>0</v>
      </c>
      <c r="J40" s="620" cm="1">
        <f t="array" aca="1" ref="J40" ca="1">IF(AUTOEVENTO="Manual",ROUND(SUMPRODUCT((CÁLCULO!$M$15:$M$22=EVENTOS!$C40)*(OFFSET(CÁLCULO!$AA$15:$AA$22,0,J$13))),2),0)</f>
        <v>0</v>
      </c>
      <c r="K40" s="620" cm="1">
        <f t="array" aca="1" ref="K40" ca="1">IF(AUTOEVENTO="Manual",ROUND(SUMPRODUCT((CÁLCULO!$M$15:$M$22=EVENTOS!$C40)*(OFFSET(CÁLCULO!$AA$15:$AA$22,0,K$13))),2),0)</f>
        <v>0</v>
      </c>
      <c r="L40" s="620" cm="1">
        <f t="array" aca="1" ref="L40" ca="1">IF(AUTOEVENTO="Manual",ROUND(SUMPRODUCT((CÁLCULO!$M$15:$M$22=EVENTOS!$C40)*(OFFSET(CÁLCULO!$AA$15:$AA$22,0,L$13))),2),0)</f>
        <v>0</v>
      </c>
      <c r="M40" s="620" cm="1">
        <f t="array" aca="1" ref="M40" ca="1">IF(AUTOEVENTO="Manual",ROUND(SUMPRODUCT((CÁLCULO!$M$15:$M$22=EVENTOS!$C40)*(OFFSET(CÁLCULO!$AA$15:$AA$22,0,M$13))),2),0)</f>
        <v>0</v>
      </c>
      <c r="N40" s="620" cm="1">
        <f t="array" aca="1" ref="N40" ca="1">IF(AUTOEVENTO="Manual",ROUND(SUMPRODUCT((CÁLCULO!$M$15:$M$22=EVENTOS!$C40)*(OFFSET(CÁLCULO!$AA$15:$AA$22,0,N$13))),2),0)</f>
        <v>0</v>
      </c>
      <c r="O40" s="620" cm="1">
        <f t="array" aca="1" ref="O40" ca="1">IF(AUTOEVENTO="Manual",ROUND(SUMPRODUCT((CÁLCULO!$M$15:$M$22=EVENTOS!$C40)*(OFFSET(CÁLCULO!$AA$15:$AA$22,0,O$13))),2),0)</f>
        <v>0</v>
      </c>
      <c r="P40" s="620" cm="1">
        <f t="array" aca="1" ref="P40" ca="1">IF(AUTOEVENTO="Manual",ROUND(SUMPRODUCT((CÁLCULO!$M$15:$M$22=EVENTOS!$C40)*(OFFSET(CÁLCULO!$AA$15:$AA$22,0,P$13))),2),0)</f>
        <v>0</v>
      </c>
      <c r="Q40" s="620" cm="1">
        <f t="array" aca="1" ref="Q40" ca="1">IF(AUTOEVENTO="Manual",ROUND(SUMPRODUCT((CÁLCULO!$M$15:$M$22=EVENTOS!$C40)*(OFFSET(CÁLCULO!$AA$15:$AA$22,0,Q$13))),2),0)</f>
        <v>0</v>
      </c>
      <c r="R40" s="620" cm="1">
        <f t="array" aca="1" ref="R40" ca="1">IF(AUTOEVENTO="Manual",ROUND(SUMPRODUCT((CÁLCULO!$M$15:$M$22=EVENTOS!$C40)*(OFFSET(CÁLCULO!$AA$15:$AA$22,0,R$13))),2),0)</f>
        <v>0</v>
      </c>
      <c r="S40" s="620" cm="1">
        <f t="array" aca="1" ref="S40" ca="1">IF(AUTOEVENTO="Manual",ROUND(SUMPRODUCT((CÁLCULO!$M$15:$M$22=EVENTOS!$C40)*(OFFSET(CÁLCULO!$AA$15:$AA$22,0,S$13))),2),0)</f>
        <v>0</v>
      </c>
      <c r="T40" s="620" cm="1">
        <f t="array" aca="1" ref="T40" ca="1">IF(AUTOEVENTO="Manual",ROUND(SUMPRODUCT((CÁLCULO!$M$15:$M$22=EVENTOS!$C40)*(OFFSET(CÁLCULO!$AA$15:$AA$22,0,T$13))),2),0)</f>
        <v>0</v>
      </c>
      <c r="U40" s="620" cm="1">
        <f t="array" aca="1" ref="U40" ca="1">IF(AUTOEVENTO="Manual",ROUND(SUMPRODUCT((CÁLCULO!$M$15:$M$22=EVENTOS!$C40)*(OFFSET(CÁLCULO!$AA$15:$AA$22,0,U$13))),2),0)</f>
        <v>0</v>
      </c>
      <c r="V40" s="620" cm="1">
        <f t="array" aca="1" ref="V40" ca="1">IF(AUTOEVENTO="Manual",ROUND(SUMPRODUCT((CÁLCULO!$M$15:$M$22=EVENTOS!$C40)*(OFFSET(CÁLCULO!$AA$15:$AA$22,0,V$13))),2),0)</f>
        <v>0</v>
      </c>
      <c r="W40" s="620" cm="1">
        <f t="array" aca="1" ref="W40" ca="1">IF(AUTOEVENTO="Manual",ROUND(SUMPRODUCT((CÁLCULO!$M$15:$M$22=EVENTOS!$C40)*(OFFSET(CÁLCULO!$AA$15:$AA$22,0,W$13))),2),0)</f>
        <v>0</v>
      </c>
      <c r="X40" s="620" cm="1">
        <f t="array" aca="1" ref="X40" ca="1">IF(AUTOEVENTO="Manual",ROUND(SUMPRODUCT((CÁLCULO!$M$15:$M$22=EVENTOS!$C40)*(OFFSET(CÁLCULO!$AA$15:$AA$22,0,X$13))),2),0)</f>
        <v>0</v>
      </c>
      <c r="Y40" s="620" cm="1">
        <f t="array" aca="1" ref="Y40" ca="1">IF(AUTOEVENTO="Manual",ROUND(SUMPRODUCT((CÁLCULO!$M$15:$M$22=EVENTOS!$C40)*(OFFSET(CÁLCULO!$AA$15:$AA$22,0,Y$13))),2),0)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IF(AUTOEVENTO="Manual",ROUND(SUMPRODUCT((CÁLCULO!$M$15:$M$22=EVENTOS!$C41)*(OFFSET(CÁLCULO!$AA$15:$AA$22,0,E$13))),2),0)</f>
        <v>0</v>
      </c>
      <c r="F41" s="183">
        <f ca="1">IF(AUTOEVENTO="Manual",ROUND(SUMPRODUCT((CÁLCULO!$M$15:$M$22=EVENTOS!$C41)*(OFFSET(CÁLCULO!$AA$15,0,1):OFFSET(CÁLCULO!$AL$22,0,-1))),2),0)</f>
        <v>0</v>
      </c>
      <c r="G41" s="621" t="str">
        <f t="shared" ca="1" si="5"/>
        <v/>
      </c>
      <c r="H41" s="620" cm="1">
        <f t="array" aca="1" ref="H41" ca="1">IF(AUTOEVENTO="Manual",ROUND(SUMPRODUCT((CÁLCULO!$M$15:$M$22=EVENTOS!$C41)*(OFFSET(CÁLCULO!$AA$15:$AA$22,0,H$13))),2),0)</f>
        <v>0</v>
      </c>
      <c r="I41" s="620" cm="1">
        <f t="array" aca="1" ref="I41" ca="1">IF(AUTOEVENTO="Manual",ROUND(SUMPRODUCT((CÁLCULO!$M$15:$M$22=EVENTOS!$C41)*(OFFSET(CÁLCULO!$AA$15:$AA$22,0,I$13))),2),0)</f>
        <v>0</v>
      </c>
      <c r="J41" s="620" cm="1">
        <f t="array" aca="1" ref="J41" ca="1">IF(AUTOEVENTO="Manual",ROUND(SUMPRODUCT((CÁLCULO!$M$15:$M$22=EVENTOS!$C41)*(OFFSET(CÁLCULO!$AA$15:$AA$22,0,J$13))),2),0)</f>
        <v>0</v>
      </c>
      <c r="K41" s="620" cm="1">
        <f t="array" aca="1" ref="K41" ca="1">IF(AUTOEVENTO="Manual",ROUND(SUMPRODUCT((CÁLCULO!$M$15:$M$22=EVENTOS!$C41)*(OFFSET(CÁLCULO!$AA$15:$AA$22,0,K$13))),2),0)</f>
        <v>0</v>
      </c>
      <c r="L41" s="620" cm="1">
        <f t="array" aca="1" ref="L41" ca="1">IF(AUTOEVENTO="Manual",ROUND(SUMPRODUCT((CÁLCULO!$M$15:$M$22=EVENTOS!$C41)*(OFFSET(CÁLCULO!$AA$15:$AA$22,0,L$13))),2),0)</f>
        <v>0</v>
      </c>
      <c r="M41" s="620" cm="1">
        <f t="array" aca="1" ref="M41" ca="1">IF(AUTOEVENTO="Manual",ROUND(SUMPRODUCT((CÁLCULO!$M$15:$M$22=EVENTOS!$C41)*(OFFSET(CÁLCULO!$AA$15:$AA$22,0,M$13))),2),0)</f>
        <v>0</v>
      </c>
      <c r="N41" s="620" cm="1">
        <f t="array" aca="1" ref="N41" ca="1">IF(AUTOEVENTO="Manual",ROUND(SUMPRODUCT((CÁLCULO!$M$15:$M$22=EVENTOS!$C41)*(OFFSET(CÁLCULO!$AA$15:$AA$22,0,N$13))),2),0)</f>
        <v>0</v>
      </c>
      <c r="O41" s="620" cm="1">
        <f t="array" aca="1" ref="O41" ca="1">IF(AUTOEVENTO="Manual",ROUND(SUMPRODUCT((CÁLCULO!$M$15:$M$22=EVENTOS!$C41)*(OFFSET(CÁLCULO!$AA$15:$AA$22,0,O$13))),2),0)</f>
        <v>0</v>
      </c>
      <c r="P41" s="620" cm="1">
        <f t="array" aca="1" ref="P41" ca="1">IF(AUTOEVENTO="Manual",ROUND(SUMPRODUCT((CÁLCULO!$M$15:$M$22=EVENTOS!$C41)*(OFFSET(CÁLCULO!$AA$15:$AA$22,0,P$13))),2),0)</f>
        <v>0</v>
      </c>
      <c r="Q41" s="620" cm="1">
        <f t="array" aca="1" ref="Q41" ca="1">IF(AUTOEVENTO="Manual",ROUND(SUMPRODUCT((CÁLCULO!$M$15:$M$22=EVENTOS!$C41)*(OFFSET(CÁLCULO!$AA$15:$AA$22,0,Q$13))),2),0)</f>
        <v>0</v>
      </c>
      <c r="R41" s="620" cm="1">
        <f t="array" aca="1" ref="R41" ca="1">IF(AUTOEVENTO="Manual",ROUND(SUMPRODUCT((CÁLCULO!$M$15:$M$22=EVENTOS!$C41)*(OFFSET(CÁLCULO!$AA$15:$AA$22,0,R$13))),2),0)</f>
        <v>0</v>
      </c>
      <c r="S41" s="620" cm="1">
        <f t="array" aca="1" ref="S41" ca="1">IF(AUTOEVENTO="Manual",ROUND(SUMPRODUCT((CÁLCULO!$M$15:$M$22=EVENTOS!$C41)*(OFFSET(CÁLCULO!$AA$15:$AA$22,0,S$13))),2),0)</f>
        <v>0</v>
      </c>
      <c r="T41" s="620" cm="1">
        <f t="array" aca="1" ref="T41" ca="1">IF(AUTOEVENTO="Manual",ROUND(SUMPRODUCT((CÁLCULO!$M$15:$M$22=EVENTOS!$C41)*(OFFSET(CÁLCULO!$AA$15:$AA$22,0,T$13))),2),0)</f>
        <v>0</v>
      </c>
      <c r="U41" s="620" cm="1">
        <f t="array" aca="1" ref="U41" ca="1">IF(AUTOEVENTO="Manual",ROUND(SUMPRODUCT((CÁLCULO!$M$15:$M$22=EVENTOS!$C41)*(OFFSET(CÁLCULO!$AA$15:$AA$22,0,U$13))),2),0)</f>
        <v>0</v>
      </c>
      <c r="V41" s="620" cm="1">
        <f t="array" aca="1" ref="V41" ca="1">IF(AUTOEVENTO="Manual",ROUND(SUMPRODUCT((CÁLCULO!$M$15:$M$22=EVENTOS!$C41)*(OFFSET(CÁLCULO!$AA$15:$AA$22,0,V$13))),2),0)</f>
        <v>0</v>
      </c>
      <c r="W41" s="620" cm="1">
        <f t="array" aca="1" ref="W41" ca="1">IF(AUTOEVENTO="Manual",ROUND(SUMPRODUCT((CÁLCULO!$M$15:$M$22=EVENTOS!$C41)*(OFFSET(CÁLCULO!$AA$15:$AA$22,0,W$13))),2),0)</f>
        <v>0</v>
      </c>
      <c r="X41" s="620" cm="1">
        <f t="array" aca="1" ref="X41" ca="1">IF(AUTOEVENTO="Manual",ROUND(SUMPRODUCT((CÁLCULO!$M$15:$M$22=EVENTOS!$C41)*(OFFSET(CÁLCULO!$AA$15:$AA$22,0,X$13))),2),0)</f>
        <v>0</v>
      </c>
      <c r="Y41" s="620" cm="1">
        <f t="array" aca="1" ref="Y41" ca="1">IF(AUTOEVENTO="Manual",ROUND(SUMPRODUCT((CÁLCULO!$M$15:$M$22=EVENTOS!$C41)*(OFFSET(CÁLCULO!$AA$15:$AA$22,0,Y$13))),2),0)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IF(AUTOEVENTO="Manual",ROUND(SUMPRODUCT((CÁLCULO!$M$15:$M$22=EVENTOS!$C42)*(OFFSET(CÁLCULO!$AA$15:$AA$22,0,E$13))),2),0)</f>
        <v>0</v>
      </c>
      <c r="F42" s="183">
        <f ca="1">IF(AUTOEVENTO="Manual",ROUND(SUMPRODUCT((CÁLCULO!$M$15:$M$22=EVENTOS!$C42)*(OFFSET(CÁLCULO!$AA$15,0,1):OFFSET(CÁLCULO!$AL$22,0,-1))),2),0)</f>
        <v>0</v>
      </c>
      <c r="G42" s="621" t="str">
        <f t="shared" ca="1" si="5"/>
        <v/>
      </c>
      <c r="H42" s="620" cm="1">
        <f t="array" aca="1" ref="H42" ca="1">IF(AUTOEVENTO="Manual",ROUND(SUMPRODUCT((CÁLCULO!$M$15:$M$22=EVENTOS!$C42)*(OFFSET(CÁLCULO!$AA$15:$AA$22,0,H$13))),2),0)</f>
        <v>0</v>
      </c>
      <c r="I42" s="620" cm="1">
        <f t="array" aca="1" ref="I42" ca="1">IF(AUTOEVENTO="Manual",ROUND(SUMPRODUCT((CÁLCULO!$M$15:$M$22=EVENTOS!$C42)*(OFFSET(CÁLCULO!$AA$15:$AA$22,0,I$13))),2),0)</f>
        <v>0</v>
      </c>
      <c r="J42" s="620" cm="1">
        <f t="array" aca="1" ref="J42" ca="1">IF(AUTOEVENTO="Manual",ROUND(SUMPRODUCT((CÁLCULO!$M$15:$M$22=EVENTOS!$C42)*(OFFSET(CÁLCULO!$AA$15:$AA$22,0,J$13))),2),0)</f>
        <v>0</v>
      </c>
      <c r="K42" s="620" cm="1">
        <f t="array" aca="1" ref="K42" ca="1">IF(AUTOEVENTO="Manual",ROUND(SUMPRODUCT((CÁLCULO!$M$15:$M$22=EVENTOS!$C42)*(OFFSET(CÁLCULO!$AA$15:$AA$22,0,K$13))),2),0)</f>
        <v>0</v>
      </c>
      <c r="L42" s="620" cm="1">
        <f t="array" aca="1" ref="L42" ca="1">IF(AUTOEVENTO="Manual",ROUND(SUMPRODUCT((CÁLCULO!$M$15:$M$22=EVENTOS!$C42)*(OFFSET(CÁLCULO!$AA$15:$AA$22,0,L$13))),2),0)</f>
        <v>0</v>
      </c>
      <c r="M42" s="620" cm="1">
        <f t="array" aca="1" ref="M42" ca="1">IF(AUTOEVENTO="Manual",ROUND(SUMPRODUCT((CÁLCULO!$M$15:$M$22=EVENTOS!$C42)*(OFFSET(CÁLCULO!$AA$15:$AA$22,0,M$13))),2),0)</f>
        <v>0</v>
      </c>
      <c r="N42" s="620" cm="1">
        <f t="array" aca="1" ref="N42" ca="1">IF(AUTOEVENTO="Manual",ROUND(SUMPRODUCT((CÁLCULO!$M$15:$M$22=EVENTOS!$C42)*(OFFSET(CÁLCULO!$AA$15:$AA$22,0,N$13))),2),0)</f>
        <v>0</v>
      </c>
      <c r="O42" s="620" cm="1">
        <f t="array" aca="1" ref="O42" ca="1">IF(AUTOEVENTO="Manual",ROUND(SUMPRODUCT((CÁLCULO!$M$15:$M$22=EVENTOS!$C42)*(OFFSET(CÁLCULO!$AA$15:$AA$22,0,O$13))),2),0)</f>
        <v>0</v>
      </c>
      <c r="P42" s="620" cm="1">
        <f t="array" aca="1" ref="P42" ca="1">IF(AUTOEVENTO="Manual",ROUND(SUMPRODUCT((CÁLCULO!$M$15:$M$22=EVENTOS!$C42)*(OFFSET(CÁLCULO!$AA$15:$AA$22,0,P$13))),2),0)</f>
        <v>0</v>
      </c>
      <c r="Q42" s="620" cm="1">
        <f t="array" aca="1" ref="Q42" ca="1">IF(AUTOEVENTO="Manual",ROUND(SUMPRODUCT((CÁLCULO!$M$15:$M$22=EVENTOS!$C42)*(OFFSET(CÁLCULO!$AA$15:$AA$22,0,Q$13))),2),0)</f>
        <v>0</v>
      </c>
      <c r="R42" s="620" cm="1">
        <f t="array" aca="1" ref="R42" ca="1">IF(AUTOEVENTO="Manual",ROUND(SUMPRODUCT((CÁLCULO!$M$15:$M$22=EVENTOS!$C42)*(OFFSET(CÁLCULO!$AA$15:$AA$22,0,R$13))),2),0)</f>
        <v>0</v>
      </c>
      <c r="S42" s="620" cm="1">
        <f t="array" aca="1" ref="S42" ca="1">IF(AUTOEVENTO="Manual",ROUND(SUMPRODUCT((CÁLCULO!$M$15:$M$22=EVENTOS!$C42)*(OFFSET(CÁLCULO!$AA$15:$AA$22,0,S$13))),2),0)</f>
        <v>0</v>
      </c>
      <c r="T42" s="620" cm="1">
        <f t="array" aca="1" ref="T42" ca="1">IF(AUTOEVENTO="Manual",ROUND(SUMPRODUCT((CÁLCULO!$M$15:$M$22=EVENTOS!$C42)*(OFFSET(CÁLCULO!$AA$15:$AA$22,0,T$13))),2),0)</f>
        <v>0</v>
      </c>
      <c r="U42" s="620" cm="1">
        <f t="array" aca="1" ref="U42" ca="1">IF(AUTOEVENTO="Manual",ROUND(SUMPRODUCT((CÁLCULO!$M$15:$M$22=EVENTOS!$C42)*(OFFSET(CÁLCULO!$AA$15:$AA$22,0,U$13))),2),0)</f>
        <v>0</v>
      </c>
      <c r="V42" s="620" cm="1">
        <f t="array" aca="1" ref="V42" ca="1">IF(AUTOEVENTO="Manual",ROUND(SUMPRODUCT((CÁLCULO!$M$15:$M$22=EVENTOS!$C42)*(OFFSET(CÁLCULO!$AA$15:$AA$22,0,V$13))),2),0)</f>
        <v>0</v>
      </c>
      <c r="W42" s="620" cm="1">
        <f t="array" aca="1" ref="W42" ca="1">IF(AUTOEVENTO="Manual",ROUND(SUMPRODUCT((CÁLCULO!$M$15:$M$22=EVENTOS!$C42)*(OFFSET(CÁLCULO!$AA$15:$AA$22,0,W$13))),2),0)</f>
        <v>0</v>
      </c>
      <c r="X42" s="620" cm="1">
        <f t="array" aca="1" ref="X42" ca="1">IF(AUTOEVENTO="Manual",ROUND(SUMPRODUCT((CÁLCULO!$M$15:$M$22=EVENTOS!$C42)*(OFFSET(CÁLCULO!$AA$15:$AA$22,0,X$13))),2),0)</f>
        <v>0</v>
      </c>
      <c r="Y42" s="620" cm="1">
        <f t="array" aca="1" ref="Y42" ca="1">IF(AUTOEVENTO="Manual",ROUND(SUMPRODUCT((CÁLCULO!$M$15:$M$22=EVENTOS!$C42)*(OFFSET(CÁLCULO!$AA$15:$AA$22,0,Y$13))),2),0)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IF(AUTOEVENTO="Manual",ROUND(SUMPRODUCT((CÁLCULO!$M$15:$M$22=EVENTOS!$C43)*(OFFSET(CÁLCULO!$AA$15:$AA$22,0,E$13))),2),0)</f>
        <v>0</v>
      </c>
      <c r="F43" s="183">
        <f ca="1">IF(AUTOEVENTO="Manual",ROUND(SUMPRODUCT((CÁLCULO!$M$15:$M$22=EVENTOS!$C43)*(OFFSET(CÁLCULO!$AA$15,0,1):OFFSET(CÁLCULO!$AL$22,0,-1))),2),0)</f>
        <v>0</v>
      </c>
      <c r="G43" s="621" t="str">
        <f t="shared" ca="1" si="5"/>
        <v/>
      </c>
      <c r="H43" s="620" cm="1">
        <f t="array" aca="1" ref="H43" ca="1">IF(AUTOEVENTO="Manual",ROUND(SUMPRODUCT((CÁLCULO!$M$15:$M$22=EVENTOS!$C43)*(OFFSET(CÁLCULO!$AA$15:$AA$22,0,H$13))),2),0)</f>
        <v>0</v>
      </c>
      <c r="I43" s="620" cm="1">
        <f t="array" aca="1" ref="I43" ca="1">IF(AUTOEVENTO="Manual",ROUND(SUMPRODUCT((CÁLCULO!$M$15:$M$22=EVENTOS!$C43)*(OFFSET(CÁLCULO!$AA$15:$AA$22,0,I$13))),2),0)</f>
        <v>0</v>
      </c>
      <c r="J43" s="620" cm="1">
        <f t="array" aca="1" ref="J43" ca="1">IF(AUTOEVENTO="Manual",ROUND(SUMPRODUCT((CÁLCULO!$M$15:$M$22=EVENTOS!$C43)*(OFFSET(CÁLCULO!$AA$15:$AA$22,0,J$13))),2),0)</f>
        <v>0</v>
      </c>
      <c r="K43" s="620" cm="1">
        <f t="array" aca="1" ref="K43" ca="1">IF(AUTOEVENTO="Manual",ROUND(SUMPRODUCT((CÁLCULO!$M$15:$M$22=EVENTOS!$C43)*(OFFSET(CÁLCULO!$AA$15:$AA$22,0,K$13))),2),0)</f>
        <v>0</v>
      </c>
      <c r="L43" s="620" cm="1">
        <f t="array" aca="1" ref="L43" ca="1">IF(AUTOEVENTO="Manual",ROUND(SUMPRODUCT((CÁLCULO!$M$15:$M$22=EVENTOS!$C43)*(OFFSET(CÁLCULO!$AA$15:$AA$22,0,L$13))),2),0)</f>
        <v>0</v>
      </c>
      <c r="M43" s="620" cm="1">
        <f t="array" aca="1" ref="M43" ca="1">IF(AUTOEVENTO="Manual",ROUND(SUMPRODUCT((CÁLCULO!$M$15:$M$22=EVENTOS!$C43)*(OFFSET(CÁLCULO!$AA$15:$AA$22,0,M$13))),2),0)</f>
        <v>0</v>
      </c>
      <c r="N43" s="620" cm="1">
        <f t="array" aca="1" ref="N43" ca="1">IF(AUTOEVENTO="Manual",ROUND(SUMPRODUCT((CÁLCULO!$M$15:$M$22=EVENTOS!$C43)*(OFFSET(CÁLCULO!$AA$15:$AA$22,0,N$13))),2),0)</f>
        <v>0</v>
      </c>
      <c r="O43" s="620" cm="1">
        <f t="array" aca="1" ref="O43" ca="1">IF(AUTOEVENTO="Manual",ROUND(SUMPRODUCT((CÁLCULO!$M$15:$M$22=EVENTOS!$C43)*(OFFSET(CÁLCULO!$AA$15:$AA$22,0,O$13))),2),0)</f>
        <v>0</v>
      </c>
      <c r="P43" s="620" cm="1">
        <f t="array" aca="1" ref="P43" ca="1">IF(AUTOEVENTO="Manual",ROUND(SUMPRODUCT((CÁLCULO!$M$15:$M$22=EVENTOS!$C43)*(OFFSET(CÁLCULO!$AA$15:$AA$22,0,P$13))),2),0)</f>
        <v>0</v>
      </c>
      <c r="Q43" s="620" cm="1">
        <f t="array" aca="1" ref="Q43" ca="1">IF(AUTOEVENTO="Manual",ROUND(SUMPRODUCT((CÁLCULO!$M$15:$M$22=EVENTOS!$C43)*(OFFSET(CÁLCULO!$AA$15:$AA$22,0,Q$13))),2),0)</f>
        <v>0</v>
      </c>
      <c r="R43" s="620" cm="1">
        <f t="array" aca="1" ref="R43" ca="1">IF(AUTOEVENTO="Manual",ROUND(SUMPRODUCT((CÁLCULO!$M$15:$M$22=EVENTOS!$C43)*(OFFSET(CÁLCULO!$AA$15:$AA$22,0,R$13))),2),0)</f>
        <v>0</v>
      </c>
      <c r="S43" s="620" cm="1">
        <f t="array" aca="1" ref="S43" ca="1">IF(AUTOEVENTO="Manual",ROUND(SUMPRODUCT((CÁLCULO!$M$15:$M$22=EVENTOS!$C43)*(OFFSET(CÁLCULO!$AA$15:$AA$22,0,S$13))),2),0)</f>
        <v>0</v>
      </c>
      <c r="T43" s="620" cm="1">
        <f t="array" aca="1" ref="T43" ca="1">IF(AUTOEVENTO="Manual",ROUND(SUMPRODUCT((CÁLCULO!$M$15:$M$22=EVENTOS!$C43)*(OFFSET(CÁLCULO!$AA$15:$AA$22,0,T$13))),2),0)</f>
        <v>0</v>
      </c>
      <c r="U43" s="620" cm="1">
        <f t="array" aca="1" ref="U43" ca="1">IF(AUTOEVENTO="Manual",ROUND(SUMPRODUCT((CÁLCULO!$M$15:$M$22=EVENTOS!$C43)*(OFFSET(CÁLCULO!$AA$15:$AA$22,0,U$13))),2),0)</f>
        <v>0</v>
      </c>
      <c r="V43" s="620" cm="1">
        <f t="array" aca="1" ref="V43" ca="1">IF(AUTOEVENTO="Manual",ROUND(SUMPRODUCT((CÁLCULO!$M$15:$M$22=EVENTOS!$C43)*(OFFSET(CÁLCULO!$AA$15:$AA$22,0,V$13))),2),0)</f>
        <v>0</v>
      </c>
      <c r="W43" s="620" cm="1">
        <f t="array" aca="1" ref="W43" ca="1">IF(AUTOEVENTO="Manual",ROUND(SUMPRODUCT((CÁLCULO!$M$15:$M$22=EVENTOS!$C43)*(OFFSET(CÁLCULO!$AA$15:$AA$22,0,W$13))),2),0)</f>
        <v>0</v>
      </c>
      <c r="X43" s="620" cm="1">
        <f t="array" aca="1" ref="X43" ca="1">IF(AUTOEVENTO="Manual",ROUND(SUMPRODUCT((CÁLCULO!$M$15:$M$22=EVENTOS!$C43)*(OFFSET(CÁLCULO!$AA$15:$AA$22,0,X$13))),2),0)</f>
        <v>0</v>
      </c>
      <c r="Y43" s="620" cm="1">
        <f t="array" aca="1" ref="Y43" ca="1">IF(AUTOEVENTO="Manual",ROUND(SUMPRODUCT((CÁLCULO!$M$15:$M$22=EVENTOS!$C43)*(OFFSET(CÁLCULO!$AA$15:$AA$22,0,Y$13))),2),0)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IF(AUTOEVENTO="Manual",ROUND(SUMPRODUCT((CÁLCULO!$M$15:$M$22=EVENTOS!$C44)*(OFFSET(CÁLCULO!$AA$15:$AA$22,0,E$13))),2),0)</f>
        <v>0</v>
      </c>
      <c r="F44" s="183">
        <f ca="1">IF(AUTOEVENTO="Manual",ROUND(SUMPRODUCT((CÁLCULO!$M$15:$M$22=EVENTOS!$C44)*(OFFSET(CÁLCULO!$AA$15,0,1):OFFSET(CÁLCULO!$AL$22,0,-1))),2),0)</f>
        <v>0</v>
      </c>
      <c r="G44" s="621" t="str">
        <f t="shared" ca="1" si="5"/>
        <v/>
      </c>
      <c r="H44" s="620" cm="1">
        <f t="array" aca="1" ref="H44" ca="1">IF(AUTOEVENTO="Manual",ROUND(SUMPRODUCT((CÁLCULO!$M$15:$M$22=EVENTOS!$C44)*(OFFSET(CÁLCULO!$AA$15:$AA$22,0,H$13))),2),0)</f>
        <v>0</v>
      </c>
      <c r="I44" s="620" cm="1">
        <f t="array" aca="1" ref="I44" ca="1">IF(AUTOEVENTO="Manual",ROUND(SUMPRODUCT((CÁLCULO!$M$15:$M$22=EVENTOS!$C44)*(OFFSET(CÁLCULO!$AA$15:$AA$22,0,I$13))),2),0)</f>
        <v>0</v>
      </c>
      <c r="J44" s="620" cm="1">
        <f t="array" aca="1" ref="J44" ca="1">IF(AUTOEVENTO="Manual",ROUND(SUMPRODUCT((CÁLCULO!$M$15:$M$22=EVENTOS!$C44)*(OFFSET(CÁLCULO!$AA$15:$AA$22,0,J$13))),2),0)</f>
        <v>0</v>
      </c>
      <c r="K44" s="620" cm="1">
        <f t="array" aca="1" ref="K44" ca="1">IF(AUTOEVENTO="Manual",ROUND(SUMPRODUCT((CÁLCULO!$M$15:$M$22=EVENTOS!$C44)*(OFFSET(CÁLCULO!$AA$15:$AA$22,0,K$13))),2),0)</f>
        <v>0</v>
      </c>
      <c r="L44" s="620" cm="1">
        <f t="array" aca="1" ref="L44" ca="1">IF(AUTOEVENTO="Manual",ROUND(SUMPRODUCT((CÁLCULO!$M$15:$M$22=EVENTOS!$C44)*(OFFSET(CÁLCULO!$AA$15:$AA$22,0,L$13))),2),0)</f>
        <v>0</v>
      </c>
      <c r="M44" s="620" cm="1">
        <f t="array" aca="1" ref="M44" ca="1">IF(AUTOEVENTO="Manual",ROUND(SUMPRODUCT((CÁLCULO!$M$15:$M$22=EVENTOS!$C44)*(OFFSET(CÁLCULO!$AA$15:$AA$22,0,M$13))),2),0)</f>
        <v>0</v>
      </c>
      <c r="N44" s="620" cm="1">
        <f t="array" aca="1" ref="N44" ca="1">IF(AUTOEVENTO="Manual",ROUND(SUMPRODUCT((CÁLCULO!$M$15:$M$22=EVENTOS!$C44)*(OFFSET(CÁLCULO!$AA$15:$AA$22,0,N$13))),2),0)</f>
        <v>0</v>
      </c>
      <c r="O44" s="620" cm="1">
        <f t="array" aca="1" ref="O44" ca="1">IF(AUTOEVENTO="Manual",ROUND(SUMPRODUCT((CÁLCULO!$M$15:$M$22=EVENTOS!$C44)*(OFFSET(CÁLCULO!$AA$15:$AA$22,0,O$13))),2),0)</f>
        <v>0</v>
      </c>
      <c r="P44" s="620" cm="1">
        <f t="array" aca="1" ref="P44" ca="1">IF(AUTOEVENTO="Manual",ROUND(SUMPRODUCT((CÁLCULO!$M$15:$M$22=EVENTOS!$C44)*(OFFSET(CÁLCULO!$AA$15:$AA$22,0,P$13))),2),0)</f>
        <v>0</v>
      </c>
      <c r="Q44" s="620" cm="1">
        <f t="array" aca="1" ref="Q44" ca="1">IF(AUTOEVENTO="Manual",ROUND(SUMPRODUCT((CÁLCULO!$M$15:$M$22=EVENTOS!$C44)*(OFFSET(CÁLCULO!$AA$15:$AA$22,0,Q$13))),2),0)</f>
        <v>0</v>
      </c>
      <c r="R44" s="620" cm="1">
        <f t="array" aca="1" ref="R44" ca="1">IF(AUTOEVENTO="Manual",ROUND(SUMPRODUCT((CÁLCULO!$M$15:$M$22=EVENTOS!$C44)*(OFFSET(CÁLCULO!$AA$15:$AA$22,0,R$13))),2),0)</f>
        <v>0</v>
      </c>
      <c r="S44" s="620" cm="1">
        <f t="array" aca="1" ref="S44" ca="1">IF(AUTOEVENTO="Manual",ROUND(SUMPRODUCT((CÁLCULO!$M$15:$M$22=EVENTOS!$C44)*(OFFSET(CÁLCULO!$AA$15:$AA$22,0,S$13))),2),0)</f>
        <v>0</v>
      </c>
      <c r="T44" s="620" cm="1">
        <f t="array" aca="1" ref="T44" ca="1">IF(AUTOEVENTO="Manual",ROUND(SUMPRODUCT((CÁLCULO!$M$15:$M$22=EVENTOS!$C44)*(OFFSET(CÁLCULO!$AA$15:$AA$22,0,T$13))),2),0)</f>
        <v>0</v>
      </c>
      <c r="U44" s="620" cm="1">
        <f t="array" aca="1" ref="U44" ca="1">IF(AUTOEVENTO="Manual",ROUND(SUMPRODUCT((CÁLCULO!$M$15:$M$22=EVENTOS!$C44)*(OFFSET(CÁLCULO!$AA$15:$AA$22,0,U$13))),2),0)</f>
        <v>0</v>
      </c>
      <c r="V44" s="620" cm="1">
        <f t="array" aca="1" ref="V44" ca="1">IF(AUTOEVENTO="Manual",ROUND(SUMPRODUCT((CÁLCULO!$M$15:$M$22=EVENTOS!$C44)*(OFFSET(CÁLCULO!$AA$15:$AA$22,0,V$13))),2),0)</f>
        <v>0</v>
      </c>
      <c r="W44" s="620" cm="1">
        <f t="array" aca="1" ref="W44" ca="1">IF(AUTOEVENTO="Manual",ROUND(SUMPRODUCT((CÁLCULO!$M$15:$M$22=EVENTOS!$C44)*(OFFSET(CÁLCULO!$AA$15:$AA$22,0,W$13))),2),0)</f>
        <v>0</v>
      </c>
      <c r="X44" s="620" cm="1">
        <f t="array" aca="1" ref="X44" ca="1">IF(AUTOEVENTO="Manual",ROUND(SUMPRODUCT((CÁLCULO!$M$15:$M$22=EVENTOS!$C44)*(OFFSET(CÁLCULO!$AA$15:$AA$22,0,X$13))),2),0)</f>
        <v>0</v>
      </c>
      <c r="Y44" s="620" cm="1">
        <f t="array" aca="1" ref="Y44" ca="1">IF(AUTOEVENTO="Manual",ROUND(SUMPRODUCT((CÁLCULO!$M$15:$M$22=EVENTOS!$C44)*(OFFSET(CÁLCULO!$AA$15:$AA$22,0,Y$13))),2),0)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IF(AUTOEVENTO="Manual",ROUND(SUMPRODUCT((CÁLCULO!$M$15:$M$22=EVENTOS!$C45)*(OFFSET(CÁLCULO!$AA$15:$AA$22,0,E$13))),2),0)</f>
        <v>0</v>
      </c>
      <c r="F45" s="183">
        <f ca="1">IF(AUTOEVENTO="Manual",ROUND(SUMPRODUCT((CÁLCULO!$M$15:$M$22=EVENTOS!$C45)*(OFFSET(CÁLCULO!$AA$15,0,1):OFFSET(CÁLCULO!$AL$22,0,-1))),2),0)</f>
        <v>0</v>
      </c>
      <c r="G45" s="621" t="str">
        <f t="shared" ca="1" si="5"/>
        <v/>
      </c>
      <c r="H45" s="620" cm="1">
        <f t="array" aca="1" ref="H45" ca="1">IF(AUTOEVENTO="Manual",ROUND(SUMPRODUCT((CÁLCULO!$M$15:$M$22=EVENTOS!$C45)*(OFFSET(CÁLCULO!$AA$15:$AA$22,0,H$13))),2),0)</f>
        <v>0</v>
      </c>
      <c r="I45" s="620" cm="1">
        <f t="array" aca="1" ref="I45" ca="1">IF(AUTOEVENTO="Manual",ROUND(SUMPRODUCT((CÁLCULO!$M$15:$M$22=EVENTOS!$C45)*(OFFSET(CÁLCULO!$AA$15:$AA$22,0,I$13))),2),0)</f>
        <v>0</v>
      </c>
      <c r="J45" s="620" cm="1">
        <f t="array" aca="1" ref="J45" ca="1">IF(AUTOEVENTO="Manual",ROUND(SUMPRODUCT((CÁLCULO!$M$15:$M$22=EVENTOS!$C45)*(OFFSET(CÁLCULO!$AA$15:$AA$22,0,J$13))),2),0)</f>
        <v>0</v>
      </c>
      <c r="K45" s="620" cm="1">
        <f t="array" aca="1" ref="K45" ca="1">IF(AUTOEVENTO="Manual",ROUND(SUMPRODUCT((CÁLCULO!$M$15:$M$22=EVENTOS!$C45)*(OFFSET(CÁLCULO!$AA$15:$AA$22,0,K$13))),2),0)</f>
        <v>0</v>
      </c>
      <c r="L45" s="620" cm="1">
        <f t="array" aca="1" ref="L45" ca="1">IF(AUTOEVENTO="Manual",ROUND(SUMPRODUCT((CÁLCULO!$M$15:$M$22=EVENTOS!$C45)*(OFFSET(CÁLCULO!$AA$15:$AA$22,0,L$13))),2),0)</f>
        <v>0</v>
      </c>
      <c r="M45" s="620" cm="1">
        <f t="array" aca="1" ref="M45" ca="1">IF(AUTOEVENTO="Manual",ROUND(SUMPRODUCT((CÁLCULO!$M$15:$M$22=EVENTOS!$C45)*(OFFSET(CÁLCULO!$AA$15:$AA$22,0,M$13))),2),0)</f>
        <v>0</v>
      </c>
      <c r="N45" s="620" cm="1">
        <f t="array" aca="1" ref="N45" ca="1">IF(AUTOEVENTO="Manual",ROUND(SUMPRODUCT((CÁLCULO!$M$15:$M$22=EVENTOS!$C45)*(OFFSET(CÁLCULO!$AA$15:$AA$22,0,N$13))),2),0)</f>
        <v>0</v>
      </c>
      <c r="O45" s="620" cm="1">
        <f t="array" aca="1" ref="O45" ca="1">IF(AUTOEVENTO="Manual",ROUND(SUMPRODUCT((CÁLCULO!$M$15:$M$22=EVENTOS!$C45)*(OFFSET(CÁLCULO!$AA$15:$AA$22,0,O$13))),2),0)</f>
        <v>0</v>
      </c>
      <c r="P45" s="620" cm="1">
        <f t="array" aca="1" ref="P45" ca="1">IF(AUTOEVENTO="Manual",ROUND(SUMPRODUCT((CÁLCULO!$M$15:$M$22=EVENTOS!$C45)*(OFFSET(CÁLCULO!$AA$15:$AA$22,0,P$13))),2),0)</f>
        <v>0</v>
      </c>
      <c r="Q45" s="620" cm="1">
        <f t="array" aca="1" ref="Q45" ca="1">IF(AUTOEVENTO="Manual",ROUND(SUMPRODUCT((CÁLCULO!$M$15:$M$22=EVENTOS!$C45)*(OFFSET(CÁLCULO!$AA$15:$AA$22,0,Q$13))),2),0)</f>
        <v>0</v>
      </c>
      <c r="R45" s="620" cm="1">
        <f t="array" aca="1" ref="R45" ca="1">IF(AUTOEVENTO="Manual",ROUND(SUMPRODUCT((CÁLCULO!$M$15:$M$22=EVENTOS!$C45)*(OFFSET(CÁLCULO!$AA$15:$AA$22,0,R$13))),2),0)</f>
        <v>0</v>
      </c>
      <c r="S45" s="620" cm="1">
        <f t="array" aca="1" ref="S45" ca="1">IF(AUTOEVENTO="Manual",ROUND(SUMPRODUCT((CÁLCULO!$M$15:$M$22=EVENTOS!$C45)*(OFFSET(CÁLCULO!$AA$15:$AA$22,0,S$13))),2),0)</f>
        <v>0</v>
      </c>
      <c r="T45" s="620" cm="1">
        <f t="array" aca="1" ref="T45" ca="1">IF(AUTOEVENTO="Manual",ROUND(SUMPRODUCT((CÁLCULO!$M$15:$M$22=EVENTOS!$C45)*(OFFSET(CÁLCULO!$AA$15:$AA$22,0,T$13))),2),0)</f>
        <v>0</v>
      </c>
      <c r="U45" s="620" cm="1">
        <f t="array" aca="1" ref="U45" ca="1">IF(AUTOEVENTO="Manual",ROUND(SUMPRODUCT((CÁLCULO!$M$15:$M$22=EVENTOS!$C45)*(OFFSET(CÁLCULO!$AA$15:$AA$22,0,U$13))),2),0)</f>
        <v>0</v>
      </c>
      <c r="V45" s="620" cm="1">
        <f t="array" aca="1" ref="V45" ca="1">IF(AUTOEVENTO="Manual",ROUND(SUMPRODUCT((CÁLCULO!$M$15:$M$22=EVENTOS!$C45)*(OFFSET(CÁLCULO!$AA$15:$AA$22,0,V$13))),2),0)</f>
        <v>0</v>
      </c>
      <c r="W45" s="620" cm="1">
        <f t="array" aca="1" ref="W45" ca="1">IF(AUTOEVENTO="Manual",ROUND(SUMPRODUCT((CÁLCULO!$M$15:$M$22=EVENTOS!$C45)*(OFFSET(CÁLCULO!$AA$15:$AA$22,0,W$13))),2),0)</f>
        <v>0</v>
      </c>
      <c r="X45" s="620" cm="1">
        <f t="array" aca="1" ref="X45" ca="1">IF(AUTOEVENTO="Manual",ROUND(SUMPRODUCT((CÁLCULO!$M$15:$M$22=EVENTOS!$C45)*(OFFSET(CÁLCULO!$AA$15:$AA$22,0,X$13))),2),0)</f>
        <v>0</v>
      </c>
      <c r="Y45" s="620" cm="1">
        <f t="array" aca="1" ref="Y45" ca="1">IF(AUTOEVENTO="Manual",ROUND(SUMPRODUCT((CÁLCULO!$M$15:$M$22=EVENTOS!$C45)*(OFFSET(CÁLCULO!$AA$15:$AA$22,0,Y$13))),2),0)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IF(AUTOEVENTO="Manual",ROUND(SUMPRODUCT((CÁLCULO!$M$15:$M$22=EVENTOS!$C46)*(OFFSET(CÁLCULO!$AA$15:$AA$22,0,E$13))),2),0)</f>
        <v>0</v>
      </c>
      <c r="F46" s="183">
        <f ca="1">IF(AUTOEVENTO="Manual",ROUND(SUMPRODUCT((CÁLCULO!$M$15:$M$22=EVENTOS!$C46)*(OFFSET(CÁLCULO!$AA$15,0,1):OFFSET(CÁLCULO!$AL$22,0,-1))),2),0)</f>
        <v>0</v>
      </c>
      <c r="G46" s="621" t="str">
        <f t="shared" ca="1" si="5"/>
        <v/>
      </c>
      <c r="H46" s="620" cm="1">
        <f t="array" aca="1" ref="H46" ca="1">IF(AUTOEVENTO="Manual",ROUND(SUMPRODUCT((CÁLCULO!$M$15:$M$22=EVENTOS!$C46)*(OFFSET(CÁLCULO!$AA$15:$AA$22,0,H$13))),2),0)</f>
        <v>0</v>
      </c>
      <c r="I46" s="620" cm="1">
        <f t="array" aca="1" ref="I46" ca="1">IF(AUTOEVENTO="Manual",ROUND(SUMPRODUCT((CÁLCULO!$M$15:$M$22=EVENTOS!$C46)*(OFFSET(CÁLCULO!$AA$15:$AA$22,0,I$13))),2),0)</f>
        <v>0</v>
      </c>
      <c r="J46" s="620" cm="1">
        <f t="array" aca="1" ref="J46" ca="1">IF(AUTOEVENTO="Manual",ROUND(SUMPRODUCT((CÁLCULO!$M$15:$M$22=EVENTOS!$C46)*(OFFSET(CÁLCULO!$AA$15:$AA$22,0,J$13))),2),0)</f>
        <v>0</v>
      </c>
      <c r="K46" s="620" cm="1">
        <f t="array" aca="1" ref="K46" ca="1">IF(AUTOEVENTO="Manual",ROUND(SUMPRODUCT((CÁLCULO!$M$15:$M$22=EVENTOS!$C46)*(OFFSET(CÁLCULO!$AA$15:$AA$22,0,K$13))),2),0)</f>
        <v>0</v>
      </c>
      <c r="L46" s="620" cm="1">
        <f t="array" aca="1" ref="L46" ca="1">IF(AUTOEVENTO="Manual",ROUND(SUMPRODUCT((CÁLCULO!$M$15:$M$22=EVENTOS!$C46)*(OFFSET(CÁLCULO!$AA$15:$AA$22,0,L$13))),2),0)</f>
        <v>0</v>
      </c>
      <c r="M46" s="620" cm="1">
        <f t="array" aca="1" ref="M46" ca="1">IF(AUTOEVENTO="Manual",ROUND(SUMPRODUCT((CÁLCULO!$M$15:$M$22=EVENTOS!$C46)*(OFFSET(CÁLCULO!$AA$15:$AA$22,0,M$13))),2),0)</f>
        <v>0</v>
      </c>
      <c r="N46" s="620" cm="1">
        <f t="array" aca="1" ref="N46" ca="1">IF(AUTOEVENTO="Manual",ROUND(SUMPRODUCT((CÁLCULO!$M$15:$M$22=EVENTOS!$C46)*(OFFSET(CÁLCULO!$AA$15:$AA$22,0,N$13))),2),0)</f>
        <v>0</v>
      </c>
      <c r="O46" s="620" cm="1">
        <f t="array" aca="1" ref="O46" ca="1">IF(AUTOEVENTO="Manual",ROUND(SUMPRODUCT((CÁLCULO!$M$15:$M$22=EVENTOS!$C46)*(OFFSET(CÁLCULO!$AA$15:$AA$22,0,O$13))),2),0)</f>
        <v>0</v>
      </c>
      <c r="P46" s="620" cm="1">
        <f t="array" aca="1" ref="P46" ca="1">IF(AUTOEVENTO="Manual",ROUND(SUMPRODUCT((CÁLCULO!$M$15:$M$22=EVENTOS!$C46)*(OFFSET(CÁLCULO!$AA$15:$AA$22,0,P$13))),2),0)</f>
        <v>0</v>
      </c>
      <c r="Q46" s="620" cm="1">
        <f t="array" aca="1" ref="Q46" ca="1">IF(AUTOEVENTO="Manual",ROUND(SUMPRODUCT((CÁLCULO!$M$15:$M$22=EVENTOS!$C46)*(OFFSET(CÁLCULO!$AA$15:$AA$22,0,Q$13))),2),0)</f>
        <v>0</v>
      </c>
      <c r="R46" s="620" cm="1">
        <f t="array" aca="1" ref="R46" ca="1">IF(AUTOEVENTO="Manual",ROUND(SUMPRODUCT((CÁLCULO!$M$15:$M$22=EVENTOS!$C46)*(OFFSET(CÁLCULO!$AA$15:$AA$22,0,R$13))),2),0)</f>
        <v>0</v>
      </c>
      <c r="S46" s="620" cm="1">
        <f t="array" aca="1" ref="S46" ca="1">IF(AUTOEVENTO="Manual",ROUND(SUMPRODUCT((CÁLCULO!$M$15:$M$22=EVENTOS!$C46)*(OFFSET(CÁLCULO!$AA$15:$AA$22,0,S$13))),2),0)</f>
        <v>0</v>
      </c>
      <c r="T46" s="620" cm="1">
        <f t="array" aca="1" ref="T46" ca="1">IF(AUTOEVENTO="Manual",ROUND(SUMPRODUCT((CÁLCULO!$M$15:$M$22=EVENTOS!$C46)*(OFFSET(CÁLCULO!$AA$15:$AA$22,0,T$13))),2),0)</f>
        <v>0</v>
      </c>
      <c r="U46" s="620" cm="1">
        <f t="array" aca="1" ref="U46" ca="1">IF(AUTOEVENTO="Manual",ROUND(SUMPRODUCT((CÁLCULO!$M$15:$M$22=EVENTOS!$C46)*(OFFSET(CÁLCULO!$AA$15:$AA$22,0,U$13))),2),0)</f>
        <v>0</v>
      </c>
      <c r="V46" s="620" cm="1">
        <f t="array" aca="1" ref="V46" ca="1">IF(AUTOEVENTO="Manual",ROUND(SUMPRODUCT((CÁLCULO!$M$15:$M$22=EVENTOS!$C46)*(OFFSET(CÁLCULO!$AA$15:$AA$22,0,V$13))),2),0)</f>
        <v>0</v>
      </c>
      <c r="W46" s="620" cm="1">
        <f t="array" aca="1" ref="W46" ca="1">IF(AUTOEVENTO="Manual",ROUND(SUMPRODUCT((CÁLCULO!$M$15:$M$22=EVENTOS!$C46)*(OFFSET(CÁLCULO!$AA$15:$AA$22,0,W$13))),2),0)</f>
        <v>0</v>
      </c>
      <c r="X46" s="620" cm="1">
        <f t="array" aca="1" ref="X46" ca="1">IF(AUTOEVENTO="Manual",ROUND(SUMPRODUCT((CÁLCULO!$M$15:$M$22=EVENTOS!$C46)*(OFFSET(CÁLCULO!$AA$15:$AA$22,0,X$13))),2),0)</f>
        <v>0</v>
      </c>
      <c r="Y46" s="620" cm="1">
        <f t="array" aca="1" ref="Y46" ca="1">IF(AUTOEVENTO="Manual",ROUND(SUMPRODUCT((CÁLCULO!$M$15:$M$22=EVENTOS!$C46)*(OFFSET(CÁLCULO!$AA$15:$AA$22,0,Y$13))),2),0)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IF(AUTOEVENTO="Manual",ROUND(SUMPRODUCT((CÁLCULO!$M$15:$M$22=EVENTOS!$C47)*(OFFSET(CÁLCULO!$AA$15:$AA$22,0,E$13))),2),0)</f>
        <v>0</v>
      </c>
      <c r="F47" s="183">
        <f ca="1">IF(AUTOEVENTO="Manual",ROUND(SUMPRODUCT((CÁLCULO!$M$15:$M$22=EVENTOS!$C47)*(OFFSET(CÁLCULO!$AA$15,0,1):OFFSET(CÁLCULO!$AL$22,0,-1))),2),0)</f>
        <v>0</v>
      </c>
      <c r="G47" s="621" t="str">
        <f t="shared" ca="1" si="5"/>
        <v/>
      </c>
      <c r="H47" s="620" cm="1">
        <f t="array" aca="1" ref="H47" ca="1">IF(AUTOEVENTO="Manual",ROUND(SUMPRODUCT((CÁLCULO!$M$15:$M$22=EVENTOS!$C47)*(OFFSET(CÁLCULO!$AA$15:$AA$22,0,H$13))),2),0)</f>
        <v>0</v>
      </c>
      <c r="I47" s="620" cm="1">
        <f t="array" aca="1" ref="I47" ca="1">IF(AUTOEVENTO="Manual",ROUND(SUMPRODUCT((CÁLCULO!$M$15:$M$22=EVENTOS!$C47)*(OFFSET(CÁLCULO!$AA$15:$AA$22,0,I$13))),2),0)</f>
        <v>0</v>
      </c>
      <c r="J47" s="620" cm="1">
        <f t="array" aca="1" ref="J47" ca="1">IF(AUTOEVENTO="Manual",ROUND(SUMPRODUCT((CÁLCULO!$M$15:$M$22=EVENTOS!$C47)*(OFFSET(CÁLCULO!$AA$15:$AA$22,0,J$13))),2),0)</f>
        <v>0</v>
      </c>
      <c r="K47" s="620" cm="1">
        <f t="array" aca="1" ref="K47" ca="1">IF(AUTOEVENTO="Manual",ROUND(SUMPRODUCT((CÁLCULO!$M$15:$M$22=EVENTOS!$C47)*(OFFSET(CÁLCULO!$AA$15:$AA$22,0,K$13))),2),0)</f>
        <v>0</v>
      </c>
      <c r="L47" s="620" cm="1">
        <f t="array" aca="1" ref="L47" ca="1">IF(AUTOEVENTO="Manual",ROUND(SUMPRODUCT((CÁLCULO!$M$15:$M$22=EVENTOS!$C47)*(OFFSET(CÁLCULO!$AA$15:$AA$22,0,L$13))),2),0)</f>
        <v>0</v>
      </c>
      <c r="M47" s="620" cm="1">
        <f t="array" aca="1" ref="M47" ca="1">IF(AUTOEVENTO="Manual",ROUND(SUMPRODUCT((CÁLCULO!$M$15:$M$22=EVENTOS!$C47)*(OFFSET(CÁLCULO!$AA$15:$AA$22,0,M$13))),2),0)</f>
        <v>0</v>
      </c>
      <c r="N47" s="620" cm="1">
        <f t="array" aca="1" ref="N47" ca="1">IF(AUTOEVENTO="Manual",ROUND(SUMPRODUCT((CÁLCULO!$M$15:$M$22=EVENTOS!$C47)*(OFFSET(CÁLCULO!$AA$15:$AA$22,0,N$13))),2),0)</f>
        <v>0</v>
      </c>
      <c r="O47" s="620" cm="1">
        <f t="array" aca="1" ref="O47" ca="1">IF(AUTOEVENTO="Manual",ROUND(SUMPRODUCT((CÁLCULO!$M$15:$M$22=EVENTOS!$C47)*(OFFSET(CÁLCULO!$AA$15:$AA$22,0,O$13))),2),0)</f>
        <v>0</v>
      </c>
      <c r="P47" s="620" cm="1">
        <f t="array" aca="1" ref="P47" ca="1">IF(AUTOEVENTO="Manual",ROUND(SUMPRODUCT((CÁLCULO!$M$15:$M$22=EVENTOS!$C47)*(OFFSET(CÁLCULO!$AA$15:$AA$22,0,P$13))),2),0)</f>
        <v>0</v>
      </c>
      <c r="Q47" s="620" cm="1">
        <f t="array" aca="1" ref="Q47" ca="1">IF(AUTOEVENTO="Manual",ROUND(SUMPRODUCT((CÁLCULO!$M$15:$M$22=EVENTOS!$C47)*(OFFSET(CÁLCULO!$AA$15:$AA$22,0,Q$13))),2),0)</f>
        <v>0</v>
      </c>
      <c r="R47" s="620" cm="1">
        <f t="array" aca="1" ref="R47" ca="1">IF(AUTOEVENTO="Manual",ROUND(SUMPRODUCT((CÁLCULO!$M$15:$M$22=EVENTOS!$C47)*(OFFSET(CÁLCULO!$AA$15:$AA$22,0,R$13))),2),0)</f>
        <v>0</v>
      </c>
      <c r="S47" s="620" cm="1">
        <f t="array" aca="1" ref="S47" ca="1">IF(AUTOEVENTO="Manual",ROUND(SUMPRODUCT((CÁLCULO!$M$15:$M$22=EVENTOS!$C47)*(OFFSET(CÁLCULO!$AA$15:$AA$22,0,S$13))),2),0)</f>
        <v>0</v>
      </c>
      <c r="T47" s="620" cm="1">
        <f t="array" aca="1" ref="T47" ca="1">IF(AUTOEVENTO="Manual",ROUND(SUMPRODUCT((CÁLCULO!$M$15:$M$22=EVENTOS!$C47)*(OFFSET(CÁLCULO!$AA$15:$AA$22,0,T$13))),2),0)</f>
        <v>0</v>
      </c>
      <c r="U47" s="620" cm="1">
        <f t="array" aca="1" ref="U47" ca="1">IF(AUTOEVENTO="Manual",ROUND(SUMPRODUCT((CÁLCULO!$M$15:$M$22=EVENTOS!$C47)*(OFFSET(CÁLCULO!$AA$15:$AA$22,0,U$13))),2),0)</f>
        <v>0</v>
      </c>
      <c r="V47" s="620" cm="1">
        <f t="array" aca="1" ref="V47" ca="1">IF(AUTOEVENTO="Manual",ROUND(SUMPRODUCT((CÁLCULO!$M$15:$M$22=EVENTOS!$C47)*(OFFSET(CÁLCULO!$AA$15:$AA$22,0,V$13))),2),0)</f>
        <v>0</v>
      </c>
      <c r="W47" s="620" cm="1">
        <f t="array" aca="1" ref="W47" ca="1">IF(AUTOEVENTO="Manual",ROUND(SUMPRODUCT((CÁLCULO!$M$15:$M$22=EVENTOS!$C47)*(OFFSET(CÁLCULO!$AA$15:$AA$22,0,W$13))),2),0)</f>
        <v>0</v>
      </c>
      <c r="X47" s="620" cm="1">
        <f t="array" aca="1" ref="X47" ca="1">IF(AUTOEVENTO="Manual",ROUND(SUMPRODUCT((CÁLCULO!$M$15:$M$22=EVENTOS!$C47)*(OFFSET(CÁLCULO!$AA$15:$AA$22,0,X$13))),2),0)</f>
        <v>0</v>
      </c>
      <c r="Y47" s="620" cm="1">
        <f t="array" aca="1" ref="Y47" ca="1">IF(AUTOEVENTO="Manual",ROUND(SUMPRODUCT((CÁLCULO!$M$15:$M$22=EVENTOS!$C47)*(OFFSET(CÁLCULO!$AA$15:$AA$22,0,Y$13))),2),0)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IF(AUTOEVENTO="Manual",ROUND(SUMPRODUCT((CÁLCULO!$M$15:$M$22=EVENTOS!$C48)*(OFFSET(CÁLCULO!$AA$15:$AA$22,0,E$13))),2),0)</f>
        <v>0</v>
      </c>
      <c r="F48" s="183">
        <f ca="1">IF(AUTOEVENTO="Manual",ROUND(SUMPRODUCT((CÁLCULO!$M$15:$M$22=EVENTOS!$C48)*(OFFSET(CÁLCULO!$AA$15,0,1):OFFSET(CÁLCULO!$AL$22,0,-1))),2),0)</f>
        <v>0</v>
      </c>
      <c r="G48" s="621" t="str">
        <f t="shared" ref="G48:G64" ca="1" si="6">IF(AND(D48=0,F48&gt;0),"NOME",
 IF(AND(D48&lt;&gt;0,$F$14&gt;0,F48=0),"VALOR",
 IF(AND(Import.TipoArredondamento="TransfereGOV",$A48="F",LEN(D48)&gt;100),"Nome &gt;100","")))</f>
        <v/>
      </c>
      <c r="H48" s="620" cm="1">
        <f t="array" aca="1" ref="H48" ca="1">IF(AUTOEVENTO="Manual",ROUND(SUMPRODUCT((CÁLCULO!$M$15:$M$22=EVENTOS!$C48)*(OFFSET(CÁLCULO!$AA$15:$AA$22,0,H$13))),2),0)</f>
        <v>0</v>
      </c>
      <c r="I48" s="620" cm="1">
        <f t="array" aca="1" ref="I48" ca="1">IF(AUTOEVENTO="Manual",ROUND(SUMPRODUCT((CÁLCULO!$M$15:$M$22=EVENTOS!$C48)*(OFFSET(CÁLCULO!$AA$15:$AA$22,0,I$13))),2),0)</f>
        <v>0</v>
      </c>
      <c r="J48" s="620" cm="1">
        <f t="array" aca="1" ref="J48" ca="1">IF(AUTOEVENTO="Manual",ROUND(SUMPRODUCT((CÁLCULO!$M$15:$M$22=EVENTOS!$C48)*(OFFSET(CÁLCULO!$AA$15:$AA$22,0,J$13))),2),0)</f>
        <v>0</v>
      </c>
      <c r="K48" s="620" cm="1">
        <f t="array" aca="1" ref="K48" ca="1">IF(AUTOEVENTO="Manual",ROUND(SUMPRODUCT((CÁLCULO!$M$15:$M$22=EVENTOS!$C48)*(OFFSET(CÁLCULO!$AA$15:$AA$22,0,K$13))),2),0)</f>
        <v>0</v>
      </c>
      <c r="L48" s="620" cm="1">
        <f t="array" aca="1" ref="L48" ca="1">IF(AUTOEVENTO="Manual",ROUND(SUMPRODUCT((CÁLCULO!$M$15:$M$22=EVENTOS!$C48)*(OFFSET(CÁLCULO!$AA$15:$AA$22,0,L$13))),2),0)</f>
        <v>0</v>
      </c>
      <c r="M48" s="620" cm="1">
        <f t="array" aca="1" ref="M48" ca="1">IF(AUTOEVENTO="Manual",ROUND(SUMPRODUCT((CÁLCULO!$M$15:$M$22=EVENTOS!$C48)*(OFFSET(CÁLCULO!$AA$15:$AA$22,0,M$13))),2),0)</f>
        <v>0</v>
      </c>
      <c r="N48" s="620" cm="1">
        <f t="array" aca="1" ref="N48" ca="1">IF(AUTOEVENTO="Manual",ROUND(SUMPRODUCT((CÁLCULO!$M$15:$M$22=EVENTOS!$C48)*(OFFSET(CÁLCULO!$AA$15:$AA$22,0,N$13))),2),0)</f>
        <v>0</v>
      </c>
      <c r="O48" s="620" cm="1">
        <f t="array" aca="1" ref="O48" ca="1">IF(AUTOEVENTO="Manual",ROUND(SUMPRODUCT((CÁLCULO!$M$15:$M$22=EVENTOS!$C48)*(OFFSET(CÁLCULO!$AA$15:$AA$22,0,O$13))),2),0)</f>
        <v>0</v>
      </c>
      <c r="P48" s="620" cm="1">
        <f t="array" aca="1" ref="P48" ca="1">IF(AUTOEVENTO="Manual",ROUND(SUMPRODUCT((CÁLCULO!$M$15:$M$22=EVENTOS!$C48)*(OFFSET(CÁLCULO!$AA$15:$AA$22,0,P$13))),2),0)</f>
        <v>0</v>
      </c>
      <c r="Q48" s="620" cm="1">
        <f t="array" aca="1" ref="Q48" ca="1">IF(AUTOEVENTO="Manual",ROUND(SUMPRODUCT((CÁLCULO!$M$15:$M$22=EVENTOS!$C48)*(OFFSET(CÁLCULO!$AA$15:$AA$22,0,Q$13))),2),0)</f>
        <v>0</v>
      </c>
      <c r="R48" s="620" cm="1">
        <f t="array" aca="1" ref="R48" ca="1">IF(AUTOEVENTO="Manual",ROUND(SUMPRODUCT((CÁLCULO!$M$15:$M$22=EVENTOS!$C48)*(OFFSET(CÁLCULO!$AA$15:$AA$22,0,R$13))),2),0)</f>
        <v>0</v>
      </c>
      <c r="S48" s="620" cm="1">
        <f t="array" aca="1" ref="S48" ca="1">IF(AUTOEVENTO="Manual",ROUND(SUMPRODUCT((CÁLCULO!$M$15:$M$22=EVENTOS!$C48)*(OFFSET(CÁLCULO!$AA$15:$AA$22,0,S$13))),2),0)</f>
        <v>0</v>
      </c>
      <c r="T48" s="620" cm="1">
        <f t="array" aca="1" ref="T48" ca="1">IF(AUTOEVENTO="Manual",ROUND(SUMPRODUCT((CÁLCULO!$M$15:$M$22=EVENTOS!$C48)*(OFFSET(CÁLCULO!$AA$15:$AA$22,0,T$13))),2),0)</f>
        <v>0</v>
      </c>
      <c r="U48" s="620" cm="1">
        <f t="array" aca="1" ref="U48" ca="1">IF(AUTOEVENTO="Manual",ROUND(SUMPRODUCT((CÁLCULO!$M$15:$M$22=EVENTOS!$C48)*(OFFSET(CÁLCULO!$AA$15:$AA$22,0,U$13))),2),0)</f>
        <v>0</v>
      </c>
      <c r="V48" s="620" cm="1">
        <f t="array" aca="1" ref="V48" ca="1">IF(AUTOEVENTO="Manual",ROUND(SUMPRODUCT((CÁLCULO!$M$15:$M$22=EVENTOS!$C48)*(OFFSET(CÁLCULO!$AA$15:$AA$22,0,V$13))),2),0)</f>
        <v>0</v>
      </c>
      <c r="W48" s="620" cm="1">
        <f t="array" aca="1" ref="W48" ca="1">IF(AUTOEVENTO="Manual",ROUND(SUMPRODUCT((CÁLCULO!$M$15:$M$22=EVENTOS!$C48)*(OFFSET(CÁLCULO!$AA$15:$AA$22,0,W$13))),2),0)</f>
        <v>0</v>
      </c>
      <c r="X48" s="620" cm="1">
        <f t="array" aca="1" ref="X48" ca="1">IF(AUTOEVENTO="Manual",ROUND(SUMPRODUCT((CÁLCULO!$M$15:$M$22=EVENTOS!$C48)*(OFFSET(CÁLCULO!$AA$15:$AA$22,0,X$13))),2),0)</f>
        <v>0</v>
      </c>
      <c r="Y48" s="620" cm="1">
        <f t="array" aca="1" ref="Y48" ca="1">IF(AUTOEVENTO="Manual",ROUND(SUMPRODUCT((CÁLCULO!$M$15:$M$22=EVENTOS!$C48)*(OFFSET(CÁLCULO!$AA$15:$AA$22,0,Y$13))),2),0)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IF(AUTOEVENTO="Manual",ROUND(SUMPRODUCT((CÁLCULO!$M$15:$M$22=EVENTOS!$C49)*(OFFSET(CÁLCULO!$AA$15:$AA$22,0,E$13))),2),0)</f>
        <v>0</v>
      </c>
      <c r="F49" s="183">
        <f ca="1">IF(AUTOEVENTO="Manual",ROUND(SUMPRODUCT((CÁLCULO!$M$15:$M$22=EVENTOS!$C49)*(OFFSET(CÁLCULO!$AA$15,0,1):OFFSET(CÁLCULO!$AL$22,0,-1))),2),0)</f>
        <v>0</v>
      </c>
      <c r="G49" s="621" t="str">
        <f t="shared" ca="1" si="6"/>
        <v/>
      </c>
      <c r="H49" s="620" cm="1">
        <f t="array" aca="1" ref="H49" ca="1">IF(AUTOEVENTO="Manual",ROUND(SUMPRODUCT((CÁLCULO!$M$15:$M$22=EVENTOS!$C49)*(OFFSET(CÁLCULO!$AA$15:$AA$22,0,H$13))),2),0)</f>
        <v>0</v>
      </c>
      <c r="I49" s="620" cm="1">
        <f t="array" aca="1" ref="I49" ca="1">IF(AUTOEVENTO="Manual",ROUND(SUMPRODUCT((CÁLCULO!$M$15:$M$22=EVENTOS!$C49)*(OFFSET(CÁLCULO!$AA$15:$AA$22,0,I$13))),2),0)</f>
        <v>0</v>
      </c>
      <c r="J49" s="620" cm="1">
        <f t="array" aca="1" ref="J49" ca="1">IF(AUTOEVENTO="Manual",ROUND(SUMPRODUCT((CÁLCULO!$M$15:$M$22=EVENTOS!$C49)*(OFFSET(CÁLCULO!$AA$15:$AA$22,0,J$13))),2),0)</f>
        <v>0</v>
      </c>
      <c r="K49" s="620" cm="1">
        <f t="array" aca="1" ref="K49" ca="1">IF(AUTOEVENTO="Manual",ROUND(SUMPRODUCT((CÁLCULO!$M$15:$M$22=EVENTOS!$C49)*(OFFSET(CÁLCULO!$AA$15:$AA$22,0,K$13))),2),0)</f>
        <v>0</v>
      </c>
      <c r="L49" s="620" cm="1">
        <f t="array" aca="1" ref="L49" ca="1">IF(AUTOEVENTO="Manual",ROUND(SUMPRODUCT((CÁLCULO!$M$15:$M$22=EVENTOS!$C49)*(OFFSET(CÁLCULO!$AA$15:$AA$22,0,L$13))),2),0)</f>
        <v>0</v>
      </c>
      <c r="M49" s="620" cm="1">
        <f t="array" aca="1" ref="M49" ca="1">IF(AUTOEVENTO="Manual",ROUND(SUMPRODUCT((CÁLCULO!$M$15:$M$22=EVENTOS!$C49)*(OFFSET(CÁLCULO!$AA$15:$AA$22,0,M$13))),2),0)</f>
        <v>0</v>
      </c>
      <c r="N49" s="620" cm="1">
        <f t="array" aca="1" ref="N49" ca="1">IF(AUTOEVENTO="Manual",ROUND(SUMPRODUCT((CÁLCULO!$M$15:$M$22=EVENTOS!$C49)*(OFFSET(CÁLCULO!$AA$15:$AA$22,0,N$13))),2),0)</f>
        <v>0</v>
      </c>
      <c r="O49" s="620" cm="1">
        <f t="array" aca="1" ref="O49" ca="1">IF(AUTOEVENTO="Manual",ROUND(SUMPRODUCT((CÁLCULO!$M$15:$M$22=EVENTOS!$C49)*(OFFSET(CÁLCULO!$AA$15:$AA$22,0,O$13))),2),0)</f>
        <v>0</v>
      </c>
      <c r="P49" s="620" cm="1">
        <f t="array" aca="1" ref="P49" ca="1">IF(AUTOEVENTO="Manual",ROUND(SUMPRODUCT((CÁLCULO!$M$15:$M$22=EVENTOS!$C49)*(OFFSET(CÁLCULO!$AA$15:$AA$22,0,P$13))),2),0)</f>
        <v>0</v>
      </c>
      <c r="Q49" s="620" cm="1">
        <f t="array" aca="1" ref="Q49" ca="1">IF(AUTOEVENTO="Manual",ROUND(SUMPRODUCT((CÁLCULO!$M$15:$M$22=EVENTOS!$C49)*(OFFSET(CÁLCULO!$AA$15:$AA$22,0,Q$13))),2),0)</f>
        <v>0</v>
      </c>
      <c r="R49" s="620" cm="1">
        <f t="array" aca="1" ref="R49" ca="1">IF(AUTOEVENTO="Manual",ROUND(SUMPRODUCT((CÁLCULO!$M$15:$M$22=EVENTOS!$C49)*(OFFSET(CÁLCULO!$AA$15:$AA$22,0,R$13))),2),0)</f>
        <v>0</v>
      </c>
      <c r="S49" s="620" cm="1">
        <f t="array" aca="1" ref="S49" ca="1">IF(AUTOEVENTO="Manual",ROUND(SUMPRODUCT((CÁLCULO!$M$15:$M$22=EVENTOS!$C49)*(OFFSET(CÁLCULO!$AA$15:$AA$22,0,S$13))),2),0)</f>
        <v>0</v>
      </c>
      <c r="T49" s="620" cm="1">
        <f t="array" aca="1" ref="T49" ca="1">IF(AUTOEVENTO="Manual",ROUND(SUMPRODUCT((CÁLCULO!$M$15:$M$22=EVENTOS!$C49)*(OFFSET(CÁLCULO!$AA$15:$AA$22,0,T$13))),2),0)</f>
        <v>0</v>
      </c>
      <c r="U49" s="620" cm="1">
        <f t="array" aca="1" ref="U49" ca="1">IF(AUTOEVENTO="Manual",ROUND(SUMPRODUCT((CÁLCULO!$M$15:$M$22=EVENTOS!$C49)*(OFFSET(CÁLCULO!$AA$15:$AA$22,0,U$13))),2),0)</f>
        <v>0</v>
      </c>
      <c r="V49" s="620" cm="1">
        <f t="array" aca="1" ref="V49" ca="1">IF(AUTOEVENTO="Manual",ROUND(SUMPRODUCT((CÁLCULO!$M$15:$M$22=EVENTOS!$C49)*(OFFSET(CÁLCULO!$AA$15:$AA$22,0,V$13))),2),0)</f>
        <v>0</v>
      </c>
      <c r="W49" s="620" cm="1">
        <f t="array" aca="1" ref="W49" ca="1">IF(AUTOEVENTO="Manual",ROUND(SUMPRODUCT((CÁLCULO!$M$15:$M$22=EVENTOS!$C49)*(OFFSET(CÁLCULO!$AA$15:$AA$22,0,W$13))),2),0)</f>
        <v>0</v>
      </c>
      <c r="X49" s="620" cm="1">
        <f t="array" aca="1" ref="X49" ca="1">IF(AUTOEVENTO="Manual",ROUND(SUMPRODUCT((CÁLCULO!$M$15:$M$22=EVENTOS!$C49)*(OFFSET(CÁLCULO!$AA$15:$AA$22,0,X$13))),2),0)</f>
        <v>0</v>
      </c>
      <c r="Y49" s="620" cm="1">
        <f t="array" aca="1" ref="Y49" ca="1">IF(AUTOEVENTO="Manual",ROUND(SUMPRODUCT((CÁLCULO!$M$15:$M$22=EVENTOS!$C49)*(OFFSET(CÁLCULO!$AA$15:$AA$22,0,Y$13))),2),0)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IF(AUTOEVENTO="Manual",ROUND(SUMPRODUCT((CÁLCULO!$M$15:$M$22=EVENTOS!$C50)*(OFFSET(CÁLCULO!$AA$15:$AA$22,0,E$13))),2),0)</f>
        <v>0</v>
      </c>
      <c r="F50" s="183">
        <f ca="1">IF(AUTOEVENTO="Manual",ROUND(SUMPRODUCT((CÁLCULO!$M$15:$M$22=EVENTOS!$C50)*(OFFSET(CÁLCULO!$AA$15,0,1):OFFSET(CÁLCULO!$AL$22,0,-1))),2),0)</f>
        <v>0</v>
      </c>
      <c r="G50" s="621" t="str">
        <f t="shared" ca="1" si="6"/>
        <v/>
      </c>
      <c r="H50" s="620" cm="1">
        <f t="array" aca="1" ref="H50" ca="1">IF(AUTOEVENTO="Manual",ROUND(SUMPRODUCT((CÁLCULO!$M$15:$M$22=EVENTOS!$C50)*(OFFSET(CÁLCULO!$AA$15:$AA$22,0,H$13))),2),0)</f>
        <v>0</v>
      </c>
      <c r="I50" s="620" cm="1">
        <f t="array" aca="1" ref="I50" ca="1">IF(AUTOEVENTO="Manual",ROUND(SUMPRODUCT((CÁLCULO!$M$15:$M$22=EVENTOS!$C50)*(OFFSET(CÁLCULO!$AA$15:$AA$22,0,I$13))),2),0)</f>
        <v>0</v>
      </c>
      <c r="J50" s="620" cm="1">
        <f t="array" aca="1" ref="J50" ca="1">IF(AUTOEVENTO="Manual",ROUND(SUMPRODUCT((CÁLCULO!$M$15:$M$22=EVENTOS!$C50)*(OFFSET(CÁLCULO!$AA$15:$AA$22,0,J$13))),2),0)</f>
        <v>0</v>
      </c>
      <c r="K50" s="620" cm="1">
        <f t="array" aca="1" ref="K50" ca="1">IF(AUTOEVENTO="Manual",ROUND(SUMPRODUCT((CÁLCULO!$M$15:$M$22=EVENTOS!$C50)*(OFFSET(CÁLCULO!$AA$15:$AA$22,0,K$13))),2),0)</f>
        <v>0</v>
      </c>
      <c r="L50" s="620" cm="1">
        <f t="array" aca="1" ref="L50" ca="1">IF(AUTOEVENTO="Manual",ROUND(SUMPRODUCT((CÁLCULO!$M$15:$M$22=EVENTOS!$C50)*(OFFSET(CÁLCULO!$AA$15:$AA$22,0,L$13))),2),0)</f>
        <v>0</v>
      </c>
      <c r="M50" s="620" cm="1">
        <f t="array" aca="1" ref="M50" ca="1">IF(AUTOEVENTO="Manual",ROUND(SUMPRODUCT((CÁLCULO!$M$15:$M$22=EVENTOS!$C50)*(OFFSET(CÁLCULO!$AA$15:$AA$22,0,M$13))),2),0)</f>
        <v>0</v>
      </c>
      <c r="N50" s="620" cm="1">
        <f t="array" aca="1" ref="N50" ca="1">IF(AUTOEVENTO="Manual",ROUND(SUMPRODUCT((CÁLCULO!$M$15:$M$22=EVENTOS!$C50)*(OFFSET(CÁLCULO!$AA$15:$AA$22,0,N$13))),2),0)</f>
        <v>0</v>
      </c>
      <c r="O50" s="620" cm="1">
        <f t="array" aca="1" ref="O50" ca="1">IF(AUTOEVENTO="Manual",ROUND(SUMPRODUCT((CÁLCULO!$M$15:$M$22=EVENTOS!$C50)*(OFFSET(CÁLCULO!$AA$15:$AA$22,0,O$13))),2),0)</f>
        <v>0</v>
      </c>
      <c r="P50" s="620" cm="1">
        <f t="array" aca="1" ref="P50" ca="1">IF(AUTOEVENTO="Manual",ROUND(SUMPRODUCT((CÁLCULO!$M$15:$M$22=EVENTOS!$C50)*(OFFSET(CÁLCULO!$AA$15:$AA$22,0,P$13))),2),0)</f>
        <v>0</v>
      </c>
      <c r="Q50" s="620" cm="1">
        <f t="array" aca="1" ref="Q50" ca="1">IF(AUTOEVENTO="Manual",ROUND(SUMPRODUCT((CÁLCULO!$M$15:$M$22=EVENTOS!$C50)*(OFFSET(CÁLCULO!$AA$15:$AA$22,0,Q$13))),2),0)</f>
        <v>0</v>
      </c>
      <c r="R50" s="620" cm="1">
        <f t="array" aca="1" ref="R50" ca="1">IF(AUTOEVENTO="Manual",ROUND(SUMPRODUCT((CÁLCULO!$M$15:$M$22=EVENTOS!$C50)*(OFFSET(CÁLCULO!$AA$15:$AA$22,0,R$13))),2),0)</f>
        <v>0</v>
      </c>
      <c r="S50" s="620" cm="1">
        <f t="array" aca="1" ref="S50" ca="1">IF(AUTOEVENTO="Manual",ROUND(SUMPRODUCT((CÁLCULO!$M$15:$M$22=EVENTOS!$C50)*(OFFSET(CÁLCULO!$AA$15:$AA$22,0,S$13))),2),0)</f>
        <v>0</v>
      </c>
      <c r="T50" s="620" cm="1">
        <f t="array" aca="1" ref="T50" ca="1">IF(AUTOEVENTO="Manual",ROUND(SUMPRODUCT((CÁLCULO!$M$15:$M$22=EVENTOS!$C50)*(OFFSET(CÁLCULO!$AA$15:$AA$22,0,T$13))),2),0)</f>
        <v>0</v>
      </c>
      <c r="U50" s="620" cm="1">
        <f t="array" aca="1" ref="U50" ca="1">IF(AUTOEVENTO="Manual",ROUND(SUMPRODUCT((CÁLCULO!$M$15:$M$22=EVENTOS!$C50)*(OFFSET(CÁLCULO!$AA$15:$AA$22,0,U$13))),2),0)</f>
        <v>0</v>
      </c>
      <c r="V50" s="620" cm="1">
        <f t="array" aca="1" ref="V50" ca="1">IF(AUTOEVENTO="Manual",ROUND(SUMPRODUCT((CÁLCULO!$M$15:$M$22=EVENTOS!$C50)*(OFFSET(CÁLCULO!$AA$15:$AA$22,0,V$13))),2),0)</f>
        <v>0</v>
      </c>
      <c r="W50" s="620" cm="1">
        <f t="array" aca="1" ref="W50" ca="1">IF(AUTOEVENTO="Manual",ROUND(SUMPRODUCT((CÁLCULO!$M$15:$M$22=EVENTOS!$C50)*(OFFSET(CÁLCULO!$AA$15:$AA$22,0,W$13))),2),0)</f>
        <v>0</v>
      </c>
      <c r="X50" s="620" cm="1">
        <f t="array" aca="1" ref="X50" ca="1">IF(AUTOEVENTO="Manual",ROUND(SUMPRODUCT((CÁLCULO!$M$15:$M$22=EVENTOS!$C50)*(OFFSET(CÁLCULO!$AA$15:$AA$22,0,X$13))),2),0)</f>
        <v>0</v>
      </c>
      <c r="Y50" s="620" cm="1">
        <f t="array" aca="1" ref="Y50" ca="1">IF(AUTOEVENTO="Manual",ROUND(SUMPRODUCT((CÁLCULO!$M$15:$M$22=EVENTOS!$C50)*(OFFSET(CÁLCULO!$AA$15:$AA$22,0,Y$13))),2),0)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IF(AUTOEVENTO="Manual",ROUND(SUMPRODUCT((CÁLCULO!$M$15:$M$22=EVENTOS!$C51)*(OFFSET(CÁLCULO!$AA$15:$AA$22,0,E$13))),2),0)</f>
        <v>0</v>
      </c>
      <c r="F51" s="183">
        <f ca="1">IF(AUTOEVENTO="Manual",ROUND(SUMPRODUCT((CÁLCULO!$M$15:$M$22=EVENTOS!$C51)*(OFFSET(CÁLCULO!$AA$15,0,1):OFFSET(CÁLCULO!$AL$22,0,-1))),2),0)</f>
        <v>0</v>
      </c>
      <c r="G51" s="621" t="str">
        <f t="shared" ca="1" si="6"/>
        <v/>
      </c>
      <c r="H51" s="620" cm="1">
        <f t="array" aca="1" ref="H51" ca="1">IF(AUTOEVENTO="Manual",ROUND(SUMPRODUCT((CÁLCULO!$M$15:$M$22=EVENTOS!$C51)*(OFFSET(CÁLCULO!$AA$15:$AA$22,0,H$13))),2),0)</f>
        <v>0</v>
      </c>
      <c r="I51" s="620" cm="1">
        <f t="array" aca="1" ref="I51" ca="1">IF(AUTOEVENTO="Manual",ROUND(SUMPRODUCT((CÁLCULO!$M$15:$M$22=EVENTOS!$C51)*(OFFSET(CÁLCULO!$AA$15:$AA$22,0,I$13))),2),0)</f>
        <v>0</v>
      </c>
      <c r="J51" s="620" cm="1">
        <f t="array" aca="1" ref="J51" ca="1">IF(AUTOEVENTO="Manual",ROUND(SUMPRODUCT((CÁLCULO!$M$15:$M$22=EVENTOS!$C51)*(OFFSET(CÁLCULO!$AA$15:$AA$22,0,J$13))),2),0)</f>
        <v>0</v>
      </c>
      <c r="K51" s="620" cm="1">
        <f t="array" aca="1" ref="K51" ca="1">IF(AUTOEVENTO="Manual",ROUND(SUMPRODUCT((CÁLCULO!$M$15:$M$22=EVENTOS!$C51)*(OFFSET(CÁLCULO!$AA$15:$AA$22,0,K$13))),2),0)</f>
        <v>0</v>
      </c>
      <c r="L51" s="620" cm="1">
        <f t="array" aca="1" ref="L51" ca="1">IF(AUTOEVENTO="Manual",ROUND(SUMPRODUCT((CÁLCULO!$M$15:$M$22=EVENTOS!$C51)*(OFFSET(CÁLCULO!$AA$15:$AA$22,0,L$13))),2),0)</f>
        <v>0</v>
      </c>
      <c r="M51" s="620" cm="1">
        <f t="array" aca="1" ref="M51" ca="1">IF(AUTOEVENTO="Manual",ROUND(SUMPRODUCT((CÁLCULO!$M$15:$M$22=EVENTOS!$C51)*(OFFSET(CÁLCULO!$AA$15:$AA$22,0,M$13))),2),0)</f>
        <v>0</v>
      </c>
      <c r="N51" s="620" cm="1">
        <f t="array" aca="1" ref="N51" ca="1">IF(AUTOEVENTO="Manual",ROUND(SUMPRODUCT((CÁLCULO!$M$15:$M$22=EVENTOS!$C51)*(OFFSET(CÁLCULO!$AA$15:$AA$22,0,N$13))),2),0)</f>
        <v>0</v>
      </c>
      <c r="O51" s="620" cm="1">
        <f t="array" aca="1" ref="O51" ca="1">IF(AUTOEVENTO="Manual",ROUND(SUMPRODUCT((CÁLCULO!$M$15:$M$22=EVENTOS!$C51)*(OFFSET(CÁLCULO!$AA$15:$AA$22,0,O$13))),2),0)</f>
        <v>0</v>
      </c>
      <c r="P51" s="620" cm="1">
        <f t="array" aca="1" ref="P51" ca="1">IF(AUTOEVENTO="Manual",ROUND(SUMPRODUCT((CÁLCULO!$M$15:$M$22=EVENTOS!$C51)*(OFFSET(CÁLCULO!$AA$15:$AA$22,0,P$13))),2),0)</f>
        <v>0</v>
      </c>
      <c r="Q51" s="620" cm="1">
        <f t="array" aca="1" ref="Q51" ca="1">IF(AUTOEVENTO="Manual",ROUND(SUMPRODUCT((CÁLCULO!$M$15:$M$22=EVENTOS!$C51)*(OFFSET(CÁLCULO!$AA$15:$AA$22,0,Q$13))),2),0)</f>
        <v>0</v>
      </c>
      <c r="R51" s="620" cm="1">
        <f t="array" aca="1" ref="R51" ca="1">IF(AUTOEVENTO="Manual",ROUND(SUMPRODUCT((CÁLCULO!$M$15:$M$22=EVENTOS!$C51)*(OFFSET(CÁLCULO!$AA$15:$AA$22,0,R$13))),2),0)</f>
        <v>0</v>
      </c>
      <c r="S51" s="620" cm="1">
        <f t="array" aca="1" ref="S51" ca="1">IF(AUTOEVENTO="Manual",ROUND(SUMPRODUCT((CÁLCULO!$M$15:$M$22=EVENTOS!$C51)*(OFFSET(CÁLCULO!$AA$15:$AA$22,0,S$13))),2),0)</f>
        <v>0</v>
      </c>
      <c r="T51" s="620" cm="1">
        <f t="array" aca="1" ref="T51" ca="1">IF(AUTOEVENTO="Manual",ROUND(SUMPRODUCT((CÁLCULO!$M$15:$M$22=EVENTOS!$C51)*(OFFSET(CÁLCULO!$AA$15:$AA$22,0,T$13))),2),0)</f>
        <v>0</v>
      </c>
      <c r="U51" s="620" cm="1">
        <f t="array" aca="1" ref="U51" ca="1">IF(AUTOEVENTO="Manual",ROUND(SUMPRODUCT((CÁLCULO!$M$15:$M$22=EVENTOS!$C51)*(OFFSET(CÁLCULO!$AA$15:$AA$22,0,U$13))),2),0)</f>
        <v>0</v>
      </c>
      <c r="V51" s="620" cm="1">
        <f t="array" aca="1" ref="V51" ca="1">IF(AUTOEVENTO="Manual",ROUND(SUMPRODUCT((CÁLCULO!$M$15:$M$22=EVENTOS!$C51)*(OFFSET(CÁLCULO!$AA$15:$AA$22,0,V$13))),2),0)</f>
        <v>0</v>
      </c>
      <c r="W51" s="620" cm="1">
        <f t="array" aca="1" ref="W51" ca="1">IF(AUTOEVENTO="Manual",ROUND(SUMPRODUCT((CÁLCULO!$M$15:$M$22=EVENTOS!$C51)*(OFFSET(CÁLCULO!$AA$15:$AA$22,0,W$13))),2),0)</f>
        <v>0</v>
      </c>
      <c r="X51" s="620" cm="1">
        <f t="array" aca="1" ref="X51" ca="1">IF(AUTOEVENTO="Manual",ROUND(SUMPRODUCT((CÁLCULO!$M$15:$M$22=EVENTOS!$C51)*(OFFSET(CÁLCULO!$AA$15:$AA$22,0,X$13))),2),0)</f>
        <v>0</v>
      </c>
      <c r="Y51" s="620" cm="1">
        <f t="array" aca="1" ref="Y51" ca="1">IF(AUTOEVENTO="Manual",ROUND(SUMPRODUCT((CÁLCULO!$M$15:$M$22=EVENTOS!$C51)*(OFFSET(CÁLCULO!$AA$15:$AA$22,0,Y$13))),2),0)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IF(AUTOEVENTO="Manual",ROUND(SUMPRODUCT((CÁLCULO!$M$15:$M$22=EVENTOS!$C52)*(OFFSET(CÁLCULO!$AA$15:$AA$22,0,E$13))),2),0)</f>
        <v>0</v>
      </c>
      <c r="F52" s="183">
        <f ca="1">IF(AUTOEVENTO="Manual",ROUND(SUMPRODUCT((CÁLCULO!$M$15:$M$22=EVENTOS!$C52)*(OFFSET(CÁLCULO!$AA$15,0,1):OFFSET(CÁLCULO!$AL$22,0,-1))),2),0)</f>
        <v>0</v>
      </c>
      <c r="G52" s="621" t="str">
        <f t="shared" ca="1" si="6"/>
        <v/>
      </c>
      <c r="H52" s="620" cm="1">
        <f t="array" aca="1" ref="H52" ca="1">IF(AUTOEVENTO="Manual",ROUND(SUMPRODUCT((CÁLCULO!$M$15:$M$22=EVENTOS!$C52)*(OFFSET(CÁLCULO!$AA$15:$AA$22,0,H$13))),2),0)</f>
        <v>0</v>
      </c>
      <c r="I52" s="620" cm="1">
        <f t="array" aca="1" ref="I52" ca="1">IF(AUTOEVENTO="Manual",ROUND(SUMPRODUCT((CÁLCULO!$M$15:$M$22=EVENTOS!$C52)*(OFFSET(CÁLCULO!$AA$15:$AA$22,0,I$13))),2),0)</f>
        <v>0</v>
      </c>
      <c r="J52" s="620" cm="1">
        <f t="array" aca="1" ref="J52" ca="1">IF(AUTOEVENTO="Manual",ROUND(SUMPRODUCT((CÁLCULO!$M$15:$M$22=EVENTOS!$C52)*(OFFSET(CÁLCULO!$AA$15:$AA$22,0,J$13))),2),0)</f>
        <v>0</v>
      </c>
      <c r="K52" s="620" cm="1">
        <f t="array" aca="1" ref="K52" ca="1">IF(AUTOEVENTO="Manual",ROUND(SUMPRODUCT((CÁLCULO!$M$15:$M$22=EVENTOS!$C52)*(OFFSET(CÁLCULO!$AA$15:$AA$22,0,K$13))),2),0)</f>
        <v>0</v>
      </c>
      <c r="L52" s="620" cm="1">
        <f t="array" aca="1" ref="L52" ca="1">IF(AUTOEVENTO="Manual",ROUND(SUMPRODUCT((CÁLCULO!$M$15:$M$22=EVENTOS!$C52)*(OFFSET(CÁLCULO!$AA$15:$AA$22,0,L$13))),2),0)</f>
        <v>0</v>
      </c>
      <c r="M52" s="620" cm="1">
        <f t="array" aca="1" ref="M52" ca="1">IF(AUTOEVENTO="Manual",ROUND(SUMPRODUCT((CÁLCULO!$M$15:$M$22=EVENTOS!$C52)*(OFFSET(CÁLCULO!$AA$15:$AA$22,0,M$13))),2),0)</f>
        <v>0</v>
      </c>
      <c r="N52" s="620" cm="1">
        <f t="array" aca="1" ref="N52" ca="1">IF(AUTOEVENTO="Manual",ROUND(SUMPRODUCT((CÁLCULO!$M$15:$M$22=EVENTOS!$C52)*(OFFSET(CÁLCULO!$AA$15:$AA$22,0,N$13))),2),0)</f>
        <v>0</v>
      </c>
      <c r="O52" s="620" cm="1">
        <f t="array" aca="1" ref="O52" ca="1">IF(AUTOEVENTO="Manual",ROUND(SUMPRODUCT((CÁLCULO!$M$15:$M$22=EVENTOS!$C52)*(OFFSET(CÁLCULO!$AA$15:$AA$22,0,O$13))),2),0)</f>
        <v>0</v>
      </c>
      <c r="P52" s="620" cm="1">
        <f t="array" aca="1" ref="P52" ca="1">IF(AUTOEVENTO="Manual",ROUND(SUMPRODUCT((CÁLCULO!$M$15:$M$22=EVENTOS!$C52)*(OFFSET(CÁLCULO!$AA$15:$AA$22,0,P$13))),2),0)</f>
        <v>0</v>
      </c>
      <c r="Q52" s="620" cm="1">
        <f t="array" aca="1" ref="Q52" ca="1">IF(AUTOEVENTO="Manual",ROUND(SUMPRODUCT((CÁLCULO!$M$15:$M$22=EVENTOS!$C52)*(OFFSET(CÁLCULO!$AA$15:$AA$22,0,Q$13))),2),0)</f>
        <v>0</v>
      </c>
      <c r="R52" s="620" cm="1">
        <f t="array" aca="1" ref="R52" ca="1">IF(AUTOEVENTO="Manual",ROUND(SUMPRODUCT((CÁLCULO!$M$15:$M$22=EVENTOS!$C52)*(OFFSET(CÁLCULO!$AA$15:$AA$22,0,R$13))),2),0)</f>
        <v>0</v>
      </c>
      <c r="S52" s="620" cm="1">
        <f t="array" aca="1" ref="S52" ca="1">IF(AUTOEVENTO="Manual",ROUND(SUMPRODUCT((CÁLCULO!$M$15:$M$22=EVENTOS!$C52)*(OFFSET(CÁLCULO!$AA$15:$AA$22,0,S$13))),2),0)</f>
        <v>0</v>
      </c>
      <c r="T52" s="620" cm="1">
        <f t="array" aca="1" ref="T52" ca="1">IF(AUTOEVENTO="Manual",ROUND(SUMPRODUCT((CÁLCULO!$M$15:$M$22=EVENTOS!$C52)*(OFFSET(CÁLCULO!$AA$15:$AA$22,0,T$13))),2),0)</f>
        <v>0</v>
      </c>
      <c r="U52" s="620" cm="1">
        <f t="array" aca="1" ref="U52" ca="1">IF(AUTOEVENTO="Manual",ROUND(SUMPRODUCT((CÁLCULO!$M$15:$M$22=EVENTOS!$C52)*(OFFSET(CÁLCULO!$AA$15:$AA$22,0,U$13))),2),0)</f>
        <v>0</v>
      </c>
      <c r="V52" s="620" cm="1">
        <f t="array" aca="1" ref="V52" ca="1">IF(AUTOEVENTO="Manual",ROUND(SUMPRODUCT((CÁLCULO!$M$15:$M$22=EVENTOS!$C52)*(OFFSET(CÁLCULO!$AA$15:$AA$22,0,V$13))),2),0)</f>
        <v>0</v>
      </c>
      <c r="W52" s="620" cm="1">
        <f t="array" aca="1" ref="W52" ca="1">IF(AUTOEVENTO="Manual",ROUND(SUMPRODUCT((CÁLCULO!$M$15:$M$22=EVENTOS!$C52)*(OFFSET(CÁLCULO!$AA$15:$AA$22,0,W$13))),2),0)</f>
        <v>0</v>
      </c>
      <c r="X52" s="620" cm="1">
        <f t="array" aca="1" ref="X52" ca="1">IF(AUTOEVENTO="Manual",ROUND(SUMPRODUCT((CÁLCULO!$M$15:$M$22=EVENTOS!$C52)*(OFFSET(CÁLCULO!$AA$15:$AA$22,0,X$13))),2),0)</f>
        <v>0</v>
      </c>
      <c r="Y52" s="620" cm="1">
        <f t="array" aca="1" ref="Y52" ca="1">IF(AUTOEVENTO="Manual",ROUND(SUMPRODUCT((CÁLCULO!$M$15:$M$22=EVENTOS!$C52)*(OFFSET(CÁLCULO!$AA$15:$AA$22,0,Y$13))),2),0)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IF(AUTOEVENTO="Manual",ROUND(SUMPRODUCT((CÁLCULO!$M$15:$M$22=EVENTOS!$C53)*(OFFSET(CÁLCULO!$AA$15:$AA$22,0,E$13))),2),0)</f>
        <v>0</v>
      </c>
      <c r="F53" s="183">
        <f ca="1">IF(AUTOEVENTO="Manual",ROUND(SUMPRODUCT((CÁLCULO!$M$15:$M$22=EVENTOS!$C53)*(OFFSET(CÁLCULO!$AA$15,0,1):OFFSET(CÁLCULO!$AL$22,0,-1))),2),0)</f>
        <v>0</v>
      </c>
      <c r="G53" s="621" t="str">
        <f t="shared" ca="1" si="6"/>
        <v/>
      </c>
      <c r="H53" s="620" cm="1">
        <f t="array" aca="1" ref="H53" ca="1">IF(AUTOEVENTO="Manual",ROUND(SUMPRODUCT((CÁLCULO!$M$15:$M$22=EVENTOS!$C53)*(OFFSET(CÁLCULO!$AA$15:$AA$22,0,H$13))),2),0)</f>
        <v>0</v>
      </c>
      <c r="I53" s="620" cm="1">
        <f t="array" aca="1" ref="I53" ca="1">IF(AUTOEVENTO="Manual",ROUND(SUMPRODUCT((CÁLCULO!$M$15:$M$22=EVENTOS!$C53)*(OFFSET(CÁLCULO!$AA$15:$AA$22,0,I$13))),2),0)</f>
        <v>0</v>
      </c>
      <c r="J53" s="620" cm="1">
        <f t="array" aca="1" ref="J53" ca="1">IF(AUTOEVENTO="Manual",ROUND(SUMPRODUCT((CÁLCULO!$M$15:$M$22=EVENTOS!$C53)*(OFFSET(CÁLCULO!$AA$15:$AA$22,0,J$13))),2),0)</f>
        <v>0</v>
      </c>
      <c r="K53" s="620" cm="1">
        <f t="array" aca="1" ref="K53" ca="1">IF(AUTOEVENTO="Manual",ROUND(SUMPRODUCT((CÁLCULO!$M$15:$M$22=EVENTOS!$C53)*(OFFSET(CÁLCULO!$AA$15:$AA$22,0,K$13))),2),0)</f>
        <v>0</v>
      </c>
      <c r="L53" s="620" cm="1">
        <f t="array" aca="1" ref="L53" ca="1">IF(AUTOEVENTO="Manual",ROUND(SUMPRODUCT((CÁLCULO!$M$15:$M$22=EVENTOS!$C53)*(OFFSET(CÁLCULO!$AA$15:$AA$22,0,L$13))),2),0)</f>
        <v>0</v>
      </c>
      <c r="M53" s="620" cm="1">
        <f t="array" aca="1" ref="M53" ca="1">IF(AUTOEVENTO="Manual",ROUND(SUMPRODUCT((CÁLCULO!$M$15:$M$22=EVENTOS!$C53)*(OFFSET(CÁLCULO!$AA$15:$AA$22,0,M$13))),2),0)</f>
        <v>0</v>
      </c>
      <c r="N53" s="620" cm="1">
        <f t="array" aca="1" ref="N53" ca="1">IF(AUTOEVENTO="Manual",ROUND(SUMPRODUCT((CÁLCULO!$M$15:$M$22=EVENTOS!$C53)*(OFFSET(CÁLCULO!$AA$15:$AA$22,0,N$13))),2),0)</f>
        <v>0</v>
      </c>
      <c r="O53" s="620" cm="1">
        <f t="array" aca="1" ref="O53" ca="1">IF(AUTOEVENTO="Manual",ROUND(SUMPRODUCT((CÁLCULO!$M$15:$M$22=EVENTOS!$C53)*(OFFSET(CÁLCULO!$AA$15:$AA$22,0,O$13))),2),0)</f>
        <v>0</v>
      </c>
      <c r="P53" s="620" cm="1">
        <f t="array" aca="1" ref="P53" ca="1">IF(AUTOEVENTO="Manual",ROUND(SUMPRODUCT((CÁLCULO!$M$15:$M$22=EVENTOS!$C53)*(OFFSET(CÁLCULO!$AA$15:$AA$22,0,P$13))),2),0)</f>
        <v>0</v>
      </c>
      <c r="Q53" s="620" cm="1">
        <f t="array" aca="1" ref="Q53" ca="1">IF(AUTOEVENTO="Manual",ROUND(SUMPRODUCT((CÁLCULO!$M$15:$M$22=EVENTOS!$C53)*(OFFSET(CÁLCULO!$AA$15:$AA$22,0,Q$13))),2),0)</f>
        <v>0</v>
      </c>
      <c r="R53" s="620" cm="1">
        <f t="array" aca="1" ref="R53" ca="1">IF(AUTOEVENTO="Manual",ROUND(SUMPRODUCT((CÁLCULO!$M$15:$M$22=EVENTOS!$C53)*(OFFSET(CÁLCULO!$AA$15:$AA$22,0,R$13))),2),0)</f>
        <v>0</v>
      </c>
      <c r="S53" s="620" cm="1">
        <f t="array" aca="1" ref="S53" ca="1">IF(AUTOEVENTO="Manual",ROUND(SUMPRODUCT((CÁLCULO!$M$15:$M$22=EVENTOS!$C53)*(OFFSET(CÁLCULO!$AA$15:$AA$22,0,S$13))),2),0)</f>
        <v>0</v>
      </c>
      <c r="T53" s="620" cm="1">
        <f t="array" aca="1" ref="T53" ca="1">IF(AUTOEVENTO="Manual",ROUND(SUMPRODUCT((CÁLCULO!$M$15:$M$22=EVENTOS!$C53)*(OFFSET(CÁLCULO!$AA$15:$AA$22,0,T$13))),2),0)</f>
        <v>0</v>
      </c>
      <c r="U53" s="620" cm="1">
        <f t="array" aca="1" ref="U53" ca="1">IF(AUTOEVENTO="Manual",ROUND(SUMPRODUCT((CÁLCULO!$M$15:$M$22=EVENTOS!$C53)*(OFFSET(CÁLCULO!$AA$15:$AA$22,0,U$13))),2),0)</f>
        <v>0</v>
      </c>
      <c r="V53" s="620" cm="1">
        <f t="array" aca="1" ref="V53" ca="1">IF(AUTOEVENTO="Manual",ROUND(SUMPRODUCT((CÁLCULO!$M$15:$M$22=EVENTOS!$C53)*(OFFSET(CÁLCULO!$AA$15:$AA$22,0,V$13))),2),0)</f>
        <v>0</v>
      </c>
      <c r="W53" s="620" cm="1">
        <f t="array" aca="1" ref="W53" ca="1">IF(AUTOEVENTO="Manual",ROUND(SUMPRODUCT((CÁLCULO!$M$15:$M$22=EVENTOS!$C53)*(OFFSET(CÁLCULO!$AA$15:$AA$22,0,W$13))),2),0)</f>
        <v>0</v>
      </c>
      <c r="X53" s="620" cm="1">
        <f t="array" aca="1" ref="X53" ca="1">IF(AUTOEVENTO="Manual",ROUND(SUMPRODUCT((CÁLCULO!$M$15:$M$22=EVENTOS!$C53)*(OFFSET(CÁLCULO!$AA$15:$AA$22,0,X$13))),2),0)</f>
        <v>0</v>
      </c>
      <c r="Y53" s="620" cm="1">
        <f t="array" aca="1" ref="Y53" ca="1">IF(AUTOEVENTO="Manual",ROUND(SUMPRODUCT((CÁLCULO!$M$15:$M$22=EVENTOS!$C53)*(OFFSET(CÁLCULO!$AA$15:$AA$22,0,Y$13))),2),0)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IF(AUTOEVENTO="Manual",ROUND(SUMPRODUCT((CÁLCULO!$M$15:$M$22=EVENTOS!$C54)*(OFFSET(CÁLCULO!$AA$15:$AA$22,0,E$13))),2),0)</f>
        <v>0</v>
      </c>
      <c r="F54" s="183">
        <f ca="1">IF(AUTOEVENTO="Manual",ROUND(SUMPRODUCT((CÁLCULO!$M$15:$M$22=EVENTOS!$C54)*(OFFSET(CÁLCULO!$AA$15,0,1):OFFSET(CÁLCULO!$AL$22,0,-1))),2),0)</f>
        <v>0</v>
      </c>
      <c r="G54" s="621" t="str">
        <f t="shared" ca="1" si="6"/>
        <v/>
      </c>
      <c r="H54" s="620" cm="1">
        <f t="array" aca="1" ref="H54" ca="1">IF(AUTOEVENTO="Manual",ROUND(SUMPRODUCT((CÁLCULO!$M$15:$M$22=EVENTOS!$C54)*(OFFSET(CÁLCULO!$AA$15:$AA$22,0,H$13))),2),0)</f>
        <v>0</v>
      </c>
      <c r="I54" s="620" cm="1">
        <f t="array" aca="1" ref="I54" ca="1">IF(AUTOEVENTO="Manual",ROUND(SUMPRODUCT((CÁLCULO!$M$15:$M$22=EVENTOS!$C54)*(OFFSET(CÁLCULO!$AA$15:$AA$22,0,I$13))),2),0)</f>
        <v>0</v>
      </c>
      <c r="J54" s="620" cm="1">
        <f t="array" aca="1" ref="J54" ca="1">IF(AUTOEVENTO="Manual",ROUND(SUMPRODUCT((CÁLCULO!$M$15:$M$22=EVENTOS!$C54)*(OFFSET(CÁLCULO!$AA$15:$AA$22,0,J$13))),2),0)</f>
        <v>0</v>
      </c>
      <c r="K54" s="620" cm="1">
        <f t="array" aca="1" ref="K54" ca="1">IF(AUTOEVENTO="Manual",ROUND(SUMPRODUCT((CÁLCULO!$M$15:$M$22=EVENTOS!$C54)*(OFFSET(CÁLCULO!$AA$15:$AA$22,0,K$13))),2),0)</f>
        <v>0</v>
      </c>
      <c r="L54" s="620" cm="1">
        <f t="array" aca="1" ref="L54" ca="1">IF(AUTOEVENTO="Manual",ROUND(SUMPRODUCT((CÁLCULO!$M$15:$M$22=EVENTOS!$C54)*(OFFSET(CÁLCULO!$AA$15:$AA$22,0,L$13))),2),0)</f>
        <v>0</v>
      </c>
      <c r="M54" s="620" cm="1">
        <f t="array" aca="1" ref="M54" ca="1">IF(AUTOEVENTO="Manual",ROUND(SUMPRODUCT((CÁLCULO!$M$15:$M$22=EVENTOS!$C54)*(OFFSET(CÁLCULO!$AA$15:$AA$22,0,M$13))),2),0)</f>
        <v>0</v>
      </c>
      <c r="N54" s="620" cm="1">
        <f t="array" aca="1" ref="N54" ca="1">IF(AUTOEVENTO="Manual",ROUND(SUMPRODUCT((CÁLCULO!$M$15:$M$22=EVENTOS!$C54)*(OFFSET(CÁLCULO!$AA$15:$AA$22,0,N$13))),2),0)</f>
        <v>0</v>
      </c>
      <c r="O54" s="620" cm="1">
        <f t="array" aca="1" ref="O54" ca="1">IF(AUTOEVENTO="Manual",ROUND(SUMPRODUCT((CÁLCULO!$M$15:$M$22=EVENTOS!$C54)*(OFFSET(CÁLCULO!$AA$15:$AA$22,0,O$13))),2),0)</f>
        <v>0</v>
      </c>
      <c r="P54" s="620" cm="1">
        <f t="array" aca="1" ref="P54" ca="1">IF(AUTOEVENTO="Manual",ROUND(SUMPRODUCT((CÁLCULO!$M$15:$M$22=EVENTOS!$C54)*(OFFSET(CÁLCULO!$AA$15:$AA$22,0,P$13))),2),0)</f>
        <v>0</v>
      </c>
      <c r="Q54" s="620" cm="1">
        <f t="array" aca="1" ref="Q54" ca="1">IF(AUTOEVENTO="Manual",ROUND(SUMPRODUCT((CÁLCULO!$M$15:$M$22=EVENTOS!$C54)*(OFFSET(CÁLCULO!$AA$15:$AA$22,0,Q$13))),2),0)</f>
        <v>0</v>
      </c>
      <c r="R54" s="620" cm="1">
        <f t="array" aca="1" ref="R54" ca="1">IF(AUTOEVENTO="Manual",ROUND(SUMPRODUCT((CÁLCULO!$M$15:$M$22=EVENTOS!$C54)*(OFFSET(CÁLCULO!$AA$15:$AA$22,0,R$13))),2),0)</f>
        <v>0</v>
      </c>
      <c r="S54" s="620" cm="1">
        <f t="array" aca="1" ref="S54" ca="1">IF(AUTOEVENTO="Manual",ROUND(SUMPRODUCT((CÁLCULO!$M$15:$M$22=EVENTOS!$C54)*(OFFSET(CÁLCULO!$AA$15:$AA$22,0,S$13))),2),0)</f>
        <v>0</v>
      </c>
      <c r="T54" s="620" cm="1">
        <f t="array" aca="1" ref="T54" ca="1">IF(AUTOEVENTO="Manual",ROUND(SUMPRODUCT((CÁLCULO!$M$15:$M$22=EVENTOS!$C54)*(OFFSET(CÁLCULO!$AA$15:$AA$22,0,T$13))),2),0)</f>
        <v>0</v>
      </c>
      <c r="U54" s="620" cm="1">
        <f t="array" aca="1" ref="U54" ca="1">IF(AUTOEVENTO="Manual",ROUND(SUMPRODUCT((CÁLCULO!$M$15:$M$22=EVENTOS!$C54)*(OFFSET(CÁLCULO!$AA$15:$AA$22,0,U$13))),2),0)</f>
        <v>0</v>
      </c>
      <c r="V54" s="620" cm="1">
        <f t="array" aca="1" ref="V54" ca="1">IF(AUTOEVENTO="Manual",ROUND(SUMPRODUCT((CÁLCULO!$M$15:$M$22=EVENTOS!$C54)*(OFFSET(CÁLCULO!$AA$15:$AA$22,0,V$13))),2),0)</f>
        <v>0</v>
      </c>
      <c r="W54" s="620" cm="1">
        <f t="array" aca="1" ref="W54" ca="1">IF(AUTOEVENTO="Manual",ROUND(SUMPRODUCT((CÁLCULO!$M$15:$M$22=EVENTOS!$C54)*(OFFSET(CÁLCULO!$AA$15:$AA$22,0,W$13))),2),0)</f>
        <v>0</v>
      </c>
      <c r="X54" s="620" cm="1">
        <f t="array" aca="1" ref="X54" ca="1">IF(AUTOEVENTO="Manual",ROUND(SUMPRODUCT((CÁLCULO!$M$15:$M$22=EVENTOS!$C54)*(OFFSET(CÁLCULO!$AA$15:$AA$22,0,X$13))),2),0)</f>
        <v>0</v>
      </c>
      <c r="Y54" s="620" cm="1">
        <f t="array" aca="1" ref="Y54" ca="1">IF(AUTOEVENTO="Manual",ROUND(SUMPRODUCT((CÁLCULO!$M$15:$M$22=EVENTOS!$C54)*(OFFSET(CÁLCULO!$AA$15:$AA$22,0,Y$13))),2),0)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IF(AUTOEVENTO="Manual",ROUND(SUMPRODUCT((CÁLCULO!$M$15:$M$22=EVENTOS!$C55)*(OFFSET(CÁLCULO!$AA$15:$AA$22,0,E$13))),2),0)</f>
        <v>0</v>
      </c>
      <c r="F55" s="183">
        <f ca="1">IF(AUTOEVENTO="Manual",ROUND(SUMPRODUCT((CÁLCULO!$M$15:$M$22=EVENTOS!$C55)*(OFFSET(CÁLCULO!$AA$15,0,1):OFFSET(CÁLCULO!$AL$22,0,-1))),2),0)</f>
        <v>0</v>
      </c>
      <c r="G55" s="621" t="str">
        <f t="shared" ca="1" si="6"/>
        <v/>
      </c>
      <c r="H55" s="620" cm="1">
        <f t="array" aca="1" ref="H55" ca="1">IF(AUTOEVENTO="Manual",ROUND(SUMPRODUCT((CÁLCULO!$M$15:$M$22=EVENTOS!$C55)*(OFFSET(CÁLCULO!$AA$15:$AA$22,0,H$13))),2),0)</f>
        <v>0</v>
      </c>
      <c r="I55" s="620" cm="1">
        <f t="array" aca="1" ref="I55" ca="1">IF(AUTOEVENTO="Manual",ROUND(SUMPRODUCT((CÁLCULO!$M$15:$M$22=EVENTOS!$C55)*(OFFSET(CÁLCULO!$AA$15:$AA$22,0,I$13))),2),0)</f>
        <v>0</v>
      </c>
      <c r="J55" s="620" cm="1">
        <f t="array" aca="1" ref="J55" ca="1">IF(AUTOEVENTO="Manual",ROUND(SUMPRODUCT((CÁLCULO!$M$15:$M$22=EVENTOS!$C55)*(OFFSET(CÁLCULO!$AA$15:$AA$22,0,J$13))),2),0)</f>
        <v>0</v>
      </c>
      <c r="K55" s="620" cm="1">
        <f t="array" aca="1" ref="K55" ca="1">IF(AUTOEVENTO="Manual",ROUND(SUMPRODUCT((CÁLCULO!$M$15:$M$22=EVENTOS!$C55)*(OFFSET(CÁLCULO!$AA$15:$AA$22,0,K$13))),2),0)</f>
        <v>0</v>
      </c>
      <c r="L55" s="620" cm="1">
        <f t="array" aca="1" ref="L55" ca="1">IF(AUTOEVENTO="Manual",ROUND(SUMPRODUCT((CÁLCULO!$M$15:$M$22=EVENTOS!$C55)*(OFFSET(CÁLCULO!$AA$15:$AA$22,0,L$13))),2),0)</f>
        <v>0</v>
      </c>
      <c r="M55" s="620" cm="1">
        <f t="array" aca="1" ref="M55" ca="1">IF(AUTOEVENTO="Manual",ROUND(SUMPRODUCT((CÁLCULO!$M$15:$M$22=EVENTOS!$C55)*(OFFSET(CÁLCULO!$AA$15:$AA$22,0,M$13))),2),0)</f>
        <v>0</v>
      </c>
      <c r="N55" s="620" cm="1">
        <f t="array" aca="1" ref="N55" ca="1">IF(AUTOEVENTO="Manual",ROUND(SUMPRODUCT((CÁLCULO!$M$15:$M$22=EVENTOS!$C55)*(OFFSET(CÁLCULO!$AA$15:$AA$22,0,N$13))),2),0)</f>
        <v>0</v>
      </c>
      <c r="O55" s="620" cm="1">
        <f t="array" aca="1" ref="O55" ca="1">IF(AUTOEVENTO="Manual",ROUND(SUMPRODUCT((CÁLCULO!$M$15:$M$22=EVENTOS!$C55)*(OFFSET(CÁLCULO!$AA$15:$AA$22,0,O$13))),2),0)</f>
        <v>0</v>
      </c>
      <c r="P55" s="620" cm="1">
        <f t="array" aca="1" ref="P55" ca="1">IF(AUTOEVENTO="Manual",ROUND(SUMPRODUCT((CÁLCULO!$M$15:$M$22=EVENTOS!$C55)*(OFFSET(CÁLCULO!$AA$15:$AA$22,0,P$13))),2),0)</f>
        <v>0</v>
      </c>
      <c r="Q55" s="620" cm="1">
        <f t="array" aca="1" ref="Q55" ca="1">IF(AUTOEVENTO="Manual",ROUND(SUMPRODUCT((CÁLCULO!$M$15:$M$22=EVENTOS!$C55)*(OFFSET(CÁLCULO!$AA$15:$AA$22,0,Q$13))),2),0)</f>
        <v>0</v>
      </c>
      <c r="R55" s="620" cm="1">
        <f t="array" aca="1" ref="R55" ca="1">IF(AUTOEVENTO="Manual",ROUND(SUMPRODUCT((CÁLCULO!$M$15:$M$22=EVENTOS!$C55)*(OFFSET(CÁLCULO!$AA$15:$AA$22,0,R$13))),2),0)</f>
        <v>0</v>
      </c>
      <c r="S55" s="620" cm="1">
        <f t="array" aca="1" ref="S55" ca="1">IF(AUTOEVENTO="Manual",ROUND(SUMPRODUCT((CÁLCULO!$M$15:$M$22=EVENTOS!$C55)*(OFFSET(CÁLCULO!$AA$15:$AA$22,0,S$13))),2),0)</f>
        <v>0</v>
      </c>
      <c r="T55" s="620" cm="1">
        <f t="array" aca="1" ref="T55" ca="1">IF(AUTOEVENTO="Manual",ROUND(SUMPRODUCT((CÁLCULO!$M$15:$M$22=EVENTOS!$C55)*(OFFSET(CÁLCULO!$AA$15:$AA$22,0,T$13))),2),0)</f>
        <v>0</v>
      </c>
      <c r="U55" s="620" cm="1">
        <f t="array" aca="1" ref="U55" ca="1">IF(AUTOEVENTO="Manual",ROUND(SUMPRODUCT((CÁLCULO!$M$15:$M$22=EVENTOS!$C55)*(OFFSET(CÁLCULO!$AA$15:$AA$22,0,U$13))),2),0)</f>
        <v>0</v>
      </c>
      <c r="V55" s="620" cm="1">
        <f t="array" aca="1" ref="V55" ca="1">IF(AUTOEVENTO="Manual",ROUND(SUMPRODUCT((CÁLCULO!$M$15:$M$22=EVENTOS!$C55)*(OFFSET(CÁLCULO!$AA$15:$AA$22,0,V$13))),2),0)</f>
        <v>0</v>
      </c>
      <c r="W55" s="620" cm="1">
        <f t="array" aca="1" ref="W55" ca="1">IF(AUTOEVENTO="Manual",ROUND(SUMPRODUCT((CÁLCULO!$M$15:$M$22=EVENTOS!$C55)*(OFFSET(CÁLCULO!$AA$15:$AA$22,0,W$13))),2),0)</f>
        <v>0</v>
      </c>
      <c r="X55" s="620" cm="1">
        <f t="array" aca="1" ref="X55" ca="1">IF(AUTOEVENTO="Manual",ROUND(SUMPRODUCT((CÁLCULO!$M$15:$M$22=EVENTOS!$C55)*(OFFSET(CÁLCULO!$AA$15:$AA$22,0,X$13))),2),0)</f>
        <v>0</v>
      </c>
      <c r="Y55" s="620" cm="1">
        <f t="array" aca="1" ref="Y55" ca="1">IF(AUTOEVENTO="Manual",ROUND(SUMPRODUCT((CÁLCULO!$M$15:$M$22=EVENTOS!$C55)*(OFFSET(CÁLCULO!$AA$15:$AA$22,0,Y$13))),2),0)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IF(AUTOEVENTO="Manual",ROUND(SUMPRODUCT((CÁLCULO!$M$15:$M$22=EVENTOS!$C56)*(OFFSET(CÁLCULO!$AA$15:$AA$22,0,E$13))),2),0)</f>
        <v>0</v>
      </c>
      <c r="F56" s="183">
        <f ca="1">IF(AUTOEVENTO="Manual",ROUND(SUMPRODUCT((CÁLCULO!$M$15:$M$22=EVENTOS!$C56)*(OFFSET(CÁLCULO!$AA$15,0,1):OFFSET(CÁLCULO!$AL$22,0,-1))),2),0)</f>
        <v>0</v>
      </c>
      <c r="G56" s="621" t="str">
        <f t="shared" ca="1" si="6"/>
        <v/>
      </c>
      <c r="H56" s="620" cm="1">
        <f t="array" aca="1" ref="H56" ca="1">IF(AUTOEVENTO="Manual",ROUND(SUMPRODUCT((CÁLCULO!$M$15:$M$22=EVENTOS!$C56)*(OFFSET(CÁLCULO!$AA$15:$AA$22,0,H$13))),2),0)</f>
        <v>0</v>
      </c>
      <c r="I56" s="620" cm="1">
        <f t="array" aca="1" ref="I56" ca="1">IF(AUTOEVENTO="Manual",ROUND(SUMPRODUCT((CÁLCULO!$M$15:$M$22=EVENTOS!$C56)*(OFFSET(CÁLCULO!$AA$15:$AA$22,0,I$13))),2),0)</f>
        <v>0</v>
      </c>
      <c r="J56" s="620" cm="1">
        <f t="array" aca="1" ref="J56" ca="1">IF(AUTOEVENTO="Manual",ROUND(SUMPRODUCT((CÁLCULO!$M$15:$M$22=EVENTOS!$C56)*(OFFSET(CÁLCULO!$AA$15:$AA$22,0,J$13))),2),0)</f>
        <v>0</v>
      </c>
      <c r="K56" s="620" cm="1">
        <f t="array" aca="1" ref="K56" ca="1">IF(AUTOEVENTO="Manual",ROUND(SUMPRODUCT((CÁLCULO!$M$15:$M$22=EVENTOS!$C56)*(OFFSET(CÁLCULO!$AA$15:$AA$22,0,K$13))),2),0)</f>
        <v>0</v>
      </c>
      <c r="L56" s="620" cm="1">
        <f t="array" aca="1" ref="L56" ca="1">IF(AUTOEVENTO="Manual",ROUND(SUMPRODUCT((CÁLCULO!$M$15:$M$22=EVENTOS!$C56)*(OFFSET(CÁLCULO!$AA$15:$AA$22,0,L$13))),2),0)</f>
        <v>0</v>
      </c>
      <c r="M56" s="620" cm="1">
        <f t="array" aca="1" ref="M56" ca="1">IF(AUTOEVENTO="Manual",ROUND(SUMPRODUCT((CÁLCULO!$M$15:$M$22=EVENTOS!$C56)*(OFFSET(CÁLCULO!$AA$15:$AA$22,0,M$13))),2),0)</f>
        <v>0</v>
      </c>
      <c r="N56" s="620" cm="1">
        <f t="array" aca="1" ref="N56" ca="1">IF(AUTOEVENTO="Manual",ROUND(SUMPRODUCT((CÁLCULO!$M$15:$M$22=EVENTOS!$C56)*(OFFSET(CÁLCULO!$AA$15:$AA$22,0,N$13))),2),0)</f>
        <v>0</v>
      </c>
      <c r="O56" s="620" cm="1">
        <f t="array" aca="1" ref="O56" ca="1">IF(AUTOEVENTO="Manual",ROUND(SUMPRODUCT((CÁLCULO!$M$15:$M$22=EVENTOS!$C56)*(OFFSET(CÁLCULO!$AA$15:$AA$22,0,O$13))),2),0)</f>
        <v>0</v>
      </c>
      <c r="P56" s="620" cm="1">
        <f t="array" aca="1" ref="P56" ca="1">IF(AUTOEVENTO="Manual",ROUND(SUMPRODUCT((CÁLCULO!$M$15:$M$22=EVENTOS!$C56)*(OFFSET(CÁLCULO!$AA$15:$AA$22,0,P$13))),2),0)</f>
        <v>0</v>
      </c>
      <c r="Q56" s="620" cm="1">
        <f t="array" aca="1" ref="Q56" ca="1">IF(AUTOEVENTO="Manual",ROUND(SUMPRODUCT((CÁLCULO!$M$15:$M$22=EVENTOS!$C56)*(OFFSET(CÁLCULO!$AA$15:$AA$22,0,Q$13))),2),0)</f>
        <v>0</v>
      </c>
      <c r="R56" s="620" cm="1">
        <f t="array" aca="1" ref="R56" ca="1">IF(AUTOEVENTO="Manual",ROUND(SUMPRODUCT((CÁLCULO!$M$15:$M$22=EVENTOS!$C56)*(OFFSET(CÁLCULO!$AA$15:$AA$22,0,R$13))),2),0)</f>
        <v>0</v>
      </c>
      <c r="S56" s="620" cm="1">
        <f t="array" aca="1" ref="S56" ca="1">IF(AUTOEVENTO="Manual",ROUND(SUMPRODUCT((CÁLCULO!$M$15:$M$22=EVENTOS!$C56)*(OFFSET(CÁLCULO!$AA$15:$AA$22,0,S$13))),2),0)</f>
        <v>0</v>
      </c>
      <c r="T56" s="620" cm="1">
        <f t="array" aca="1" ref="T56" ca="1">IF(AUTOEVENTO="Manual",ROUND(SUMPRODUCT((CÁLCULO!$M$15:$M$22=EVENTOS!$C56)*(OFFSET(CÁLCULO!$AA$15:$AA$22,0,T$13))),2),0)</f>
        <v>0</v>
      </c>
      <c r="U56" s="620" cm="1">
        <f t="array" aca="1" ref="U56" ca="1">IF(AUTOEVENTO="Manual",ROUND(SUMPRODUCT((CÁLCULO!$M$15:$M$22=EVENTOS!$C56)*(OFFSET(CÁLCULO!$AA$15:$AA$22,0,U$13))),2),0)</f>
        <v>0</v>
      </c>
      <c r="V56" s="620" cm="1">
        <f t="array" aca="1" ref="V56" ca="1">IF(AUTOEVENTO="Manual",ROUND(SUMPRODUCT((CÁLCULO!$M$15:$M$22=EVENTOS!$C56)*(OFFSET(CÁLCULO!$AA$15:$AA$22,0,V$13))),2),0)</f>
        <v>0</v>
      </c>
      <c r="W56" s="620" cm="1">
        <f t="array" aca="1" ref="W56" ca="1">IF(AUTOEVENTO="Manual",ROUND(SUMPRODUCT((CÁLCULO!$M$15:$M$22=EVENTOS!$C56)*(OFFSET(CÁLCULO!$AA$15:$AA$22,0,W$13))),2),0)</f>
        <v>0</v>
      </c>
      <c r="X56" s="620" cm="1">
        <f t="array" aca="1" ref="X56" ca="1">IF(AUTOEVENTO="Manual",ROUND(SUMPRODUCT((CÁLCULO!$M$15:$M$22=EVENTOS!$C56)*(OFFSET(CÁLCULO!$AA$15:$AA$22,0,X$13))),2),0)</f>
        <v>0</v>
      </c>
      <c r="Y56" s="620" cm="1">
        <f t="array" aca="1" ref="Y56" ca="1">IF(AUTOEVENTO="Manual",ROUND(SUMPRODUCT((CÁLCULO!$M$15:$M$22=EVENTOS!$C56)*(OFFSET(CÁLCULO!$AA$15:$AA$22,0,Y$13))),2),0)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IF(AUTOEVENTO="Manual",ROUND(SUMPRODUCT((CÁLCULO!$M$15:$M$22=EVENTOS!$C57)*(OFFSET(CÁLCULO!$AA$15:$AA$22,0,E$13))),2),0)</f>
        <v>0</v>
      </c>
      <c r="F57" s="183">
        <f ca="1">IF(AUTOEVENTO="Manual",ROUND(SUMPRODUCT((CÁLCULO!$M$15:$M$22=EVENTOS!$C57)*(OFFSET(CÁLCULO!$AA$15,0,1):OFFSET(CÁLCULO!$AL$22,0,-1))),2),0)</f>
        <v>0</v>
      </c>
      <c r="G57" s="621" t="str">
        <f t="shared" ca="1" si="6"/>
        <v/>
      </c>
      <c r="H57" s="620" cm="1">
        <f t="array" aca="1" ref="H57" ca="1">IF(AUTOEVENTO="Manual",ROUND(SUMPRODUCT((CÁLCULO!$M$15:$M$22=EVENTOS!$C57)*(OFFSET(CÁLCULO!$AA$15:$AA$22,0,H$13))),2),0)</f>
        <v>0</v>
      </c>
      <c r="I57" s="620" cm="1">
        <f t="array" aca="1" ref="I57" ca="1">IF(AUTOEVENTO="Manual",ROUND(SUMPRODUCT((CÁLCULO!$M$15:$M$22=EVENTOS!$C57)*(OFFSET(CÁLCULO!$AA$15:$AA$22,0,I$13))),2),0)</f>
        <v>0</v>
      </c>
      <c r="J57" s="620" cm="1">
        <f t="array" aca="1" ref="J57" ca="1">IF(AUTOEVENTO="Manual",ROUND(SUMPRODUCT((CÁLCULO!$M$15:$M$22=EVENTOS!$C57)*(OFFSET(CÁLCULO!$AA$15:$AA$22,0,J$13))),2),0)</f>
        <v>0</v>
      </c>
      <c r="K57" s="620" cm="1">
        <f t="array" aca="1" ref="K57" ca="1">IF(AUTOEVENTO="Manual",ROUND(SUMPRODUCT((CÁLCULO!$M$15:$M$22=EVENTOS!$C57)*(OFFSET(CÁLCULO!$AA$15:$AA$22,0,K$13))),2),0)</f>
        <v>0</v>
      </c>
      <c r="L57" s="620" cm="1">
        <f t="array" aca="1" ref="L57" ca="1">IF(AUTOEVENTO="Manual",ROUND(SUMPRODUCT((CÁLCULO!$M$15:$M$22=EVENTOS!$C57)*(OFFSET(CÁLCULO!$AA$15:$AA$22,0,L$13))),2),0)</f>
        <v>0</v>
      </c>
      <c r="M57" s="620" cm="1">
        <f t="array" aca="1" ref="M57" ca="1">IF(AUTOEVENTO="Manual",ROUND(SUMPRODUCT((CÁLCULO!$M$15:$M$22=EVENTOS!$C57)*(OFFSET(CÁLCULO!$AA$15:$AA$22,0,M$13))),2),0)</f>
        <v>0</v>
      </c>
      <c r="N57" s="620" cm="1">
        <f t="array" aca="1" ref="N57" ca="1">IF(AUTOEVENTO="Manual",ROUND(SUMPRODUCT((CÁLCULO!$M$15:$M$22=EVENTOS!$C57)*(OFFSET(CÁLCULO!$AA$15:$AA$22,0,N$13))),2),0)</f>
        <v>0</v>
      </c>
      <c r="O57" s="620" cm="1">
        <f t="array" aca="1" ref="O57" ca="1">IF(AUTOEVENTO="Manual",ROUND(SUMPRODUCT((CÁLCULO!$M$15:$M$22=EVENTOS!$C57)*(OFFSET(CÁLCULO!$AA$15:$AA$22,0,O$13))),2),0)</f>
        <v>0</v>
      </c>
      <c r="P57" s="620" cm="1">
        <f t="array" aca="1" ref="P57" ca="1">IF(AUTOEVENTO="Manual",ROUND(SUMPRODUCT((CÁLCULO!$M$15:$M$22=EVENTOS!$C57)*(OFFSET(CÁLCULO!$AA$15:$AA$22,0,P$13))),2),0)</f>
        <v>0</v>
      </c>
      <c r="Q57" s="620" cm="1">
        <f t="array" aca="1" ref="Q57" ca="1">IF(AUTOEVENTO="Manual",ROUND(SUMPRODUCT((CÁLCULO!$M$15:$M$22=EVENTOS!$C57)*(OFFSET(CÁLCULO!$AA$15:$AA$22,0,Q$13))),2),0)</f>
        <v>0</v>
      </c>
      <c r="R57" s="620" cm="1">
        <f t="array" aca="1" ref="R57" ca="1">IF(AUTOEVENTO="Manual",ROUND(SUMPRODUCT((CÁLCULO!$M$15:$M$22=EVENTOS!$C57)*(OFFSET(CÁLCULO!$AA$15:$AA$22,0,R$13))),2),0)</f>
        <v>0</v>
      </c>
      <c r="S57" s="620" cm="1">
        <f t="array" aca="1" ref="S57" ca="1">IF(AUTOEVENTO="Manual",ROUND(SUMPRODUCT((CÁLCULO!$M$15:$M$22=EVENTOS!$C57)*(OFFSET(CÁLCULO!$AA$15:$AA$22,0,S$13))),2),0)</f>
        <v>0</v>
      </c>
      <c r="T57" s="620" cm="1">
        <f t="array" aca="1" ref="T57" ca="1">IF(AUTOEVENTO="Manual",ROUND(SUMPRODUCT((CÁLCULO!$M$15:$M$22=EVENTOS!$C57)*(OFFSET(CÁLCULO!$AA$15:$AA$22,0,T$13))),2),0)</f>
        <v>0</v>
      </c>
      <c r="U57" s="620" cm="1">
        <f t="array" aca="1" ref="U57" ca="1">IF(AUTOEVENTO="Manual",ROUND(SUMPRODUCT((CÁLCULO!$M$15:$M$22=EVENTOS!$C57)*(OFFSET(CÁLCULO!$AA$15:$AA$22,0,U$13))),2),0)</f>
        <v>0</v>
      </c>
      <c r="V57" s="620" cm="1">
        <f t="array" aca="1" ref="V57" ca="1">IF(AUTOEVENTO="Manual",ROUND(SUMPRODUCT((CÁLCULO!$M$15:$M$22=EVENTOS!$C57)*(OFFSET(CÁLCULO!$AA$15:$AA$22,0,V$13))),2),0)</f>
        <v>0</v>
      </c>
      <c r="W57" s="620" cm="1">
        <f t="array" aca="1" ref="W57" ca="1">IF(AUTOEVENTO="Manual",ROUND(SUMPRODUCT((CÁLCULO!$M$15:$M$22=EVENTOS!$C57)*(OFFSET(CÁLCULO!$AA$15:$AA$22,0,W$13))),2),0)</f>
        <v>0</v>
      </c>
      <c r="X57" s="620" cm="1">
        <f t="array" aca="1" ref="X57" ca="1">IF(AUTOEVENTO="Manual",ROUND(SUMPRODUCT((CÁLCULO!$M$15:$M$22=EVENTOS!$C57)*(OFFSET(CÁLCULO!$AA$15:$AA$22,0,X$13))),2),0)</f>
        <v>0</v>
      </c>
      <c r="Y57" s="620" cm="1">
        <f t="array" aca="1" ref="Y57" ca="1">IF(AUTOEVENTO="Manual",ROUND(SUMPRODUCT((CÁLCULO!$M$15:$M$22=EVENTOS!$C57)*(OFFSET(CÁLCULO!$AA$15:$AA$22,0,Y$13))),2),0)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IF(AUTOEVENTO="Manual",ROUND(SUMPRODUCT((CÁLCULO!$M$15:$M$22=EVENTOS!$C58)*(OFFSET(CÁLCULO!$AA$15:$AA$22,0,E$13))),2),0)</f>
        <v>0</v>
      </c>
      <c r="F58" s="183">
        <f ca="1">IF(AUTOEVENTO="Manual",ROUND(SUMPRODUCT((CÁLCULO!$M$15:$M$22=EVENTOS!$C58)*(OFFSET(CÁLCULO!$AA$15,0,1):OFFSET(CÁLCULO!$AL$22,0,-1))),2),0)</f>
        <v>0</v>
      </c>
      <c r="G58" s="621" t="str">
        <f t="shared" ca="1" si="6"/>
        <v/>
      </c>
      <c r="H58" s="620" cm="1">
        <f t="array" aca="1" ref="H58" ca="1">IF(AUTOEVENTO="Manual",ROUND(SUMPRODUCT((CÁLCULO!$M$15:$M$22=EVENTOS!$C58)*(OFFSET(CÁLCULO!$AA$15:$AA$22,0,H$13))),2),0)</f>
        <v>0</v>
      </c>
      <c r="I58" s="620" cm="1">
        <f t="array" aca="1" ref="I58" ca="1">IF(AUTOEVENTO="Manual",ROUND(SUMPRODUCT((CÁLCULO!$M$15:$M$22=EVENTOS!$C58)*(OFFSET(CÁLCULO!$AA$15:$AA$22,0,I$13))),2),0)</f>
        <v>0</v>
      </c>
      <c r="J58" s="620" cm="1">
        <f t="array" aca="1" ref="J58" ca="1">IF(AUTOEVENTO="Manual",ROUND(SUMPRODUCT((CÁLCULO!$M$15:$M$22=EVENTOS!$C58)*(OFFSET(CÁLCULO!$AA$15:$AA$22,0,J$13))),2),0)</f>
        <v>0</v>
      </c>
      <c r="K58" s="620" cm="1">
        <f t="array" aca="1" ref="K58" ca="1">IF(AUTOEVENTO="Manual",ROUND(SUMPRODUCT((CÁLCULO!$M$15:$M$22=EVENTOS!$C58)*(OFFSET(CÁLCULO!$AA$15:$AA$22,0,K$13))),2),0)</f>
        <v>0</v>
      </c>
      <c r="L58" s="620" cm="1">
        <f t="array" aca="1" ref="L58" ca="1">IF(AUTOEVENTO="Manual",ROUND(SUMPRODUCT((CÁLCULO!$M$15:$M$22=EVENTOS!$C58)*(OFFSET(CÁLCULO!$AA$15:$AA$22,0,L$13))),2),0)</f>
        <v>0</v>
      </c>
      <c r="M58" s="620" cm="1">
        <f t="array" aca="1" ref="M58" ca="1">IF(AUTOEVENTO="Manual",ROUND(SUMPRODUCT((CÁLCULO!$M$15:$M$22=EVENTOS!$C58)*(OFFSET(CÁLCULO!$AA$15:$AA$22,0,M$13))),2),0)</f>
        <v>0</v>
      </c>
      <c r="N58" s="620" cm="1">
        <f t="array" aca="1" ref="N58" ca="1">IF(AUTOEVENTO="Manual",ROUND(SUMPRODUCT((CÁLCULO!$M$15:$M$22=EVENTOS!$C58)*(OFFSET(CÁLCULO!$AA$15:$AA$22,0,N$13))),2),0)</f>
        <v>0</v>
      </c>
      <c r="O58" s="620" cm="1">
        <f t="array" aca="1" ref="O58" ca="1">IF(AUTOEVENTO="Manual",ROUND(SUMPRODUCT((CÁLCULO!$M$15:$M$22=EVENTOS!$C58)*(OFFSET(CÁLCULO!$AA$15:$AA$22,0,O$13))),2),0)</f>
        <v>0</v>
      </c>
      <c r="P58" s="620" cm="1">
        <f t="array" aca="1" ref="P58" ca="1">IF(AUTOEVENTO="Manual",ROUND(SUMPRODUCT((CÁLCULO!$M$15:$M$22=EVENTOS!$C58)*(OFFSET(CÁLCULO!$AA$15:$AA$22,0,P$13))),2),0)</f>
        <v>0</v>
      </c>
      <c r="Q58" s="620" cm="1">
        <f t="array" aca="1" ref="Q58" ca="1">IF(AUTOEVENTO="Manual",ROUND(SUMPRODUCT((CÁLCULO!$M$15:$M$22=EVENTOS!$C58)*(OFFSET(CÁLCULO!$AA$15:$AA$22,0,Q$13))),2),0)</f>
        <v>0</v>
      </c>
      <c r="R58" s="620" cm="1">
        <f t="array" aca="1" ref="R58" ca="1">IF(AUTOEVENTO="Manual",ROUND(SUMPRODUCT((CÁLCULO!$M$15:$M$22=EVENTOS!$C58)*(OFFSET(CÁLCULO!$AA$15:$AA$22,0,R$13))),2),0)</f>
        <v>0</v>
      </c>
      <c r="S58" s="620" cm="1">
        <f t="array" aca="1" ref="S58" ca="1">IF(AUTOEVENTO="Manual",ROUND(SUMPRODUCT((CÁLCULO!$M$15:$M$22=EVENTOS!$C58)*(OFFSET(CÁLCULO!$AA$15:$AA$22,0,S$13))),2),0)</f>
        <v>0</v>
      </c>
      <c r="T58" s="620" cm="1">
        <f t="array" aca="1" ref="T58" ca="1">IF(AUTOEVENTO="Manual",ROUND(SUMPRODUCT((CÁLCULO!$M$15:$M$22=EVENTOS!$C58)*(OFFSET(CÁLCULO!$AA$15:$AA$22,0,T$13))),2),0)</f>
        <v>0</v>
      </c>
      <c r="U58" s="620" cm="1">
        <f t="array" aca="1" ref="U58" ca="1">IF(AUTOEVENTO="Manual",ROUND(SUMPRODUCT((CÁLCULO!$M$15:$M$22=EVENTOS!$C58)*(OFFSET(CÁLCULO!$AA$15:$AA$22,0,U$13))),2),0)</f>
        <v>0</v>
      </c>
      <c r="V58" s="620" cm="1">
        <f t="array" aca="1" ref="V58" ca="1">IF(AUTOEVENTO="Manual",ROUND(SUMPRODUCT((CÁLCULO!$M$15:$M$22=EVENTOS!$C58)*(OFFSET(CÁLCULO!$AA$15:$AA$22,0,V$13))),2),0)</f>
        <v>0</v>
      </c>
      <c r="W58" s="620" cm="1">
        <f t="array" aca="1" ref="W58" ca="1">IF(AUTOEVENTO="Manual",ROUND(SUMPRODUCT((CÁLCULO!$M$15:$M$22=EVENTOS!$C58)*(OFFSET(CÁLCULO!$AA$15:$AA$22,0,W$13))),2),0)</f>
        <v>0</v>
      </c>
      <c r="X58" s="620" cm="1">
        <f t="array" aca="1" ref="X58" ca="1">IF(AUTOEVENTO="Manual",ROUND(SUMPRODUCT((CÁLCULO!$M$15:$M$22=EVENTOS!$C58)*(OFFSET(CÁLCULO!$AA$15:$AA$22,0,X$13))),2),0)</f>
        <v>0</v>
      </c>
      <c r="Y58" s="620" cm="1">
        <f t="array" aca="1" ref="Y58" ca="1">IF(AUTOEVENTO="Manual",ROUND(SUMPRODUCT((CÁLCULO!$M$15:$M$22=EVENTOS!$C58)*(OFFSET(CÁLCULO!$AA$15:$AA$22,0,Y$13))),2),0)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IF(AUTOEVENTO="Manual",ROUND(SUMPRODUCT((CÁLCULO!$M$15:$M$22=EVENTOS!$C59)*(OFFSET(CÁLCULO!$AA$15:$AA$22,0,E$13))),2),0)</f>
        <v>0</v>
      </c>
      <c r="F59" s="183">
        <f ca="1">IF(AUTOEVENTO="Manual",ROUND(SUMPRODUCT((CÁLCULO!$M$15:$M$22=EVENTOS!$C59)*(OFFSET(CÁLCULO!$AA$15,0,1):OFFSET(CÁLCULO!$AL$22,0,-1))),2),0)</f>
        <v>0</v>
      </c>
      <c r="G59" s="621" t="str">
        <f t="shared" ca="1" si="6"/>
        <v/>
      </c>
      <c r="H59" s="620" cm="1">
        <f t="array" aca="1" ref="H59" ca="1">IF(AUTOEVENTO="Manual",ROUND(SUMPRODUCT((CÁLCULO!$M$15:$M$22=EVENTOS!$C59)*(OFFSET(CÁLCULO!$AA$15:$AA$22,0,H$13))),2),0)</f>
        <v>0</v>
      </c>
      <c r="I59" s="620" cm="1">
        <f t="array" aca="1" ref="I59" ca="1">IF(AUTOEVENTO="Manual",ROUND(SUMPRODUCT((CÁLCULO!$M$15:$M$22=EVENTOS!$C59)*(OFFSET(CÁLCULO!$AA$15:$AA$22,0,I$13))),2),0)</f>
        <v>0</v>
      </c>
      <c r="J59" s="620" cm="1">
        <f t="array" aca="1" ref="J59" ca="1">IF(AUTOEVENTO="Manual",ROUND(SUMPRODUCT((CÁLCULO!$M$15:$M$22=EVENTOS!$C59)*(OFFSET(CÁLCULO!$AA$15:$AA$22,0,J$13))),2),0)</f>
        <v>0</v>
      </c>
      <c r="K59" s="620" cm="1">
        <f t="array" aca="1" ref="K59" ca="1">IF(AUTOEVENTO="Manual",ROUND(SUMPRODUCT((CÁLCULO!$M$15:$M$22=EVENTOS!$C59)*(OFFSET(CÁLCULO!$AA$15:$AA$22,0,K$13))),2),0)</f>
        <v>0</v>
      </c>
      <c r="L59" s="620" cm="1">
        <f t="array" aca="1" ref="L59" ca="1">IF(AUTOEVENTO="Manual",ROUND(SUMPRODUCT((CÁLCULO!$M$15:$M$22=EVENTOS!$C59)*(OFFSET(CÁLCULO!$AA$15:$AA$22,0,L$13))),2),0)</f>
        <v>0</v>
      </c>
      <c r="M59" s="620" cm="1">
        <f t="array" aca="1" ref="M59" ca="1">IF(AUTOEVENTO="Manual",ROUND(SUMPRODUCT((CÁLCULO!$M$15:$M$22=EVENTOS!$C59)*(OFFSET(CÁLCULO!$AA$15:$AA$22,0,M$13))),2),0)</f>
        <v>0</v>
      </c>
      <c r="N59" s="620" cm="1">
        <f t="array" aca="1" ref="N59" ca="1">IF(AUTOEVENTO="Manual",ROUND(SUMPRODUCT((CÁLCULO!$M$15:$M$22=EVENTOS!$C59)*(OFFSET(CÁLCULO!$AA$15:$AA$22,0,N$13))),2),0)</f>
        <v>0</v>
      </c>
      <c r="O59" s="620" cm="1">
        <f t="array" aca="1" ref="O59" ca="1">IF(AUTOEVENTO="Manual",ROUND(SUMPRODUCT((CÁLCULO!$M$15:$M$22=EVENTOS!$C59)*(OFFSET(CÁLCULO!$AA$15:$AA$22,0,O$13))),2),0)</f>
        <v>0</v>
      </c>
      <c r="P59" s="620" cm="1">
        <f t="array" aca="1" ref="P59" ca="1">IF(AUTOEVENTO="Manual",ROUND(SUMPRODUCT((CÁLCULO!$M$15:$M$22=EVENTOS!$C59)*(OFFSET(CÁLCULO!$AA$15:$AA$22,0,P$13))),2),0)</f>
        <v>0</v>
      </c>
      <c r="Q59" s="620" cm="1">
        <f t="array" aca="1" ref="Q59" ca="1">IF(AUTOEVENTO="Manual",ROUND(SUMPRODUCT((CÁLCULO!$M$15:$M$22=EVENTOS!$C59)*(OFFSET(CÁLCULO!$AA$15:$AA$22,0,Q$13))),2),0)</f>
        <v>0</v>
      </c>
      <c r="R59" s="620" cm="1">
        <f t="array" aca="1" ref="R59" ca="1">IF(AUTOEVENTO="Manual",ROUND(SUMPRODUCT((CÁLCULO!$M$15:$M$22=EVENTOS!$C59)*(OFFSET(CÁLCULO!$AA$15:$AA$22,0,R$13))),2),0)</f>
        <v>0</v>
      </c>
      <c r="S59" s="620" cm="1">
        <f t="array" aca="1" ref="S59" ca="1">IF(AUTOEVENTO="Manual",ROUND(SUMPRODUCT((CÁLCULO!$M$15:$M$22=EVENTOS!$C59)*(OFFSET(CÁLCULO!$AA$15:$AA$22,0,S$13))),2),0)</f>
        <v>0</v>
      </c>
      <c r="T59" s="620" cm="1">
        <f t="array" aca="1" ref="T59" ca="1">IF(AUTOEVENTO="Manual",ROUND(SUMPRODUCT((CÁLCULO!$M$15:$M$22=EVENTOS!$C59)*(OFFSET(CÁLCULO!$AA$15:$AA$22,0,T$13))),2),0)</f>
        <v>0</v>
      </c>
      <c r="U59" s="620" cm="1">
        <f t="array" aca="1" ref="U59" ca="1">IF(AUTOEVENTO="Manual",ROUND(SUMPRODUCT((CÁLCULO!$M$15:$M$22=EVENTOS!$C59)*(OFFSET(CÁLCULO!$AA$15:$AA$22,0,U$13))),2),0)</f>
        <v>0</v>
      </c>
      <c r="V59" s="620" cm="1">
        <f t="array" aca="1" ref="V59" ca="1">IF(AUTOEVENTO="Manual",ROUND(SUMPRODUCT((CÁLCULO!$M$15:$M$22=EVENTOS!$C59)*(OFFSET(CÁLCULO!$AA$15:$AA$22,0,V$13))),2),0)</f>
        <v>0</v>
      </c>
      <c r="W59" s="620" cm="1">
        <f t="array" aca="1" ref="W59" ca="1">IF(AUTOEVENTO="Manual",ROUND(SUMPRODUCT((CÁLCULO!$M$15:$M$22=EVENTOS!$C59)*(OFFSET(CÁLCULO!$AA$15:$AA$22,0,W$13))),2),0)</f>
        <v>0</v>
      </c>
      <c r="X59" s="620" cm="1">
        <f t="array" aca="1" ref="X59" ca="1">IF(AUTOEVENTO="Manual",ROUND(SUMPRODUCT((CÁLCULO!$M$15:$M$22=EVENTOS!$C59)*(OFFSET(CÁLCULO!$AA$15:$AA$22,0,X$13))),2),0)</f>
        <v>0</v>
      </c>
      <c r="Y59" s="620" cm="1">
        <f t="array" aca="1" ref="Y59" ca="1">IF(AUTOEVENTO="Manual",ROUND(SUMPRODUCT((CÁLCULO!$M$15:$M$22=EVENTOS!$C59)*(OFFSET(CÁLCULO!$AA$15:$AA$22,0,Y$13))),2),0)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IF(AUTOEVENTO="Manual",ROUND(SUMPRODUCT((CÁLCULO!$M$15:$M$22=EVENTOS!$C60)*(OFFSET(CÁLCULO!$AA$15:$AA$22,0,E$13))),2),0)</f>
        <v>0</v>
      </c>
      <c r="F60" s="183">
        <f ca="1">IF(AUTOEVENTO="Manual",ROUND(SUMPRODUCT((CÁLCULO!$M$15:$M$22=EVENTOS!$C60)*(OFFSET(CÁLCULO!$AA$15,0,1):OFFSET(CÁLCULO!$AL$22,0,-1))),2),0)</f>
        <v>0</v>
      </c>
      <c r="G60" s="621" t="str">
        <f t="shared" ca="1" si="6"/>
        <v/>
      </c>
      <c r="H60" s="620" cm="1">
        <f t="array" aca="1" ref="H60" ca="1">IF(AUTOEVENTO="Manual",ROUND(SUMPRODUCT((CÁLCULO!$M$15:$M$22=EVENTOS!$C60)*(OFFSET(CÁLCULO!$AA$15:$AA$22,0,H$13))),2),0)</f>
        <v>0</v>
      </c>
      <c r="I60" s="620" cm="1">
        <f t="array" aca="1" ref="I60" ca="1">IF(AUTOEVENTO="Manual",ROUND(SUMPRODUCT((CÁLCULO!$M$15:$M$22=EVENTOS!$C60)*(OFFSET(CÁLCULO!$AA$15:$AA$22,0,I$13))),2),0)</f>
        <v>0</v>
      </c>
      <c r="J60" s="620" cm="1">
        <f t="array" aca="1" ref="J60" ca="1">IF(AUTOEVENTO="Manual",ROUND(SUMPRODUCT((CÁLCULO!$M$15:$M$22=EVENTOS!$C60)*(OFFSET(CÁLCULO!$AA$15:$AA$22,0,J$13))),2),0)</f>
        <v>0</v>
      </c>
      <c r="K60" s="620" cm="1">
        <f t="array" aca="1" ref="K60" ca="1">IF(AUTOEVENTO="Manual",ROUND(SUMPRODUCT((CÁLCULO!$M$15:$M$22=EVENTOS!$C60)*(OFFSET(CÁLCULO!$AA$15:$AA$22,0,K$13))),2),0)</f>
        <v>0</v>
      </c>
      <c r="L60" s="620" cm="1">
        <f t="array" aca="1" ref="L60" ca="1">IF(AUTOEVENTO="Manual",ROUND(SUMPRODUCT((CÁLCULO!$M$15:$M$22=EVENTOS!$C60)*(OFFSET(CÁLCULO!$AA$15:$AA$22,0,L$13))),2),0)</f>
        <v>0</v>
      </c>
      <c r="M60" s="620" cm="1">
        <f t="array" aca="1" ref="M60" ca="1">IF(AUTOEVENTO="Manual",ROUND(SUMPRODUCT((CÁLCULO!$M$15:$M$22=EVENTOS!$C60)*(OFFSET(CÁLCULO!$AA$15:$AA$22,0,M$13))),2),0)</f>
        <v>0</v>
      </c>
      <c r="N60" s="620" cm="1">
        <f t="array" aca="1" ref="N60" ca="1">IF(AUTOEVENTO="Manual",ROUND(SUMPRODUCT((CÁLCULO!$M$15:$M$22=EVENTOS!$C60)*(OFFSET(CÁLCULO!$AA$15:$AA$22,0,N$13))),2),0)</f>
        <v>0</v>
      </c>
      <c r="O60" s="620" cm="1">
        <f t="array" aca="1" ref="O60" ca="1">IF(AUTOEVENTO="Manual",ROUND(SUMPRODUCT((CÁLCULO!$M$15:$M$22=EVENTOS!$C60)*(OFFSET(CÁLCULO!$AA$15:$AA$22,0,O$13))),2),0)</f>
        <v>0</v>
      </c>
      <c r="P60" s="620" cm="1">
        <f t="array" aca="1" ref="P60" ca="1">IF(AUTOEVENTO="Manual",ROUND(SUMPRODUCT((CÁLCULO!$M$15:$M$22=EVENTOS!$C60)*(OFFSET(CÁLCULO!$AA$15:$AA$22,0,P$13))),2),0)</f>
        <v>0</v>
      </c>
      <c r="Q60" s="620" cm="1">
        <f t="array" aca="1" ref="Q60" ca="1">IF(AUTOEVENTO="Manual",ROUND(SUMPRODUCT((CÁLCULO!$M$15:$M$22=EVENTOS!$C60)*(OFFSET(CÁLCULO!$AA$15:$AA$22,0,Q$13))),2),0)</f>
        <v>0</v>
      </c>
      <c r="R60" s="620" cm="1">
        <f t="array" aca="1" ref="R60" ca="1">IF(AUTOEVENTO="Manual",ROUND(SUMPRODUCT((CÁLCULO!$M$15:$M$22=EVENTOS!$C60)*(OFFSET(CÁLCULO!$AA$15:$AA$22,0,R$13))),2),0)</f>
        <v>0</v>
      </c>
      <c r="S60" s="620" cm="1">
        <f t="array" aca="1" ref="S60" ca="1">IF(AUTOEVENTO="Manual",ROUND(SUMPRODUCT((CÁLCULO!$M$15:$M$22=EVENTOS!$C60)*(OFFSET(CÁLCULO!$AA$15:$AA$22,0,S$13))),2),0)</f>
        <v>0</v>
      </c>
      <c r="T60" s="620" cm="1">
        <f t="array" aca="1" ref="T60" ca="1">IF(AUTOEVENTO="Manual",ROUND(SUMPRODUCT((CÁLCULO!$M$15:$M$22=EVENTOS!$C60)*(OFFSET(CÁLCULO!$AA$15:$AA$22,0,T$13))),2),0)</f>
        <v>0</v>
      </c>
      <c r="U60" s="620" cm="1">
        <f t="array" aca="1" ref="U60" ca="1">IF(AUTOEVENTO="Manual",ROUND(SUMPRODUCT((CÁLCULO!$M$15:$M$22=EVENTOS!$C60)*(OFFSET(CÁLCULO!$AA$15:$AA$22,0,U$13))),2),0)</f>
        <v>0</v>
      </c>
      <c r="V60" s="620" cm="1">
        <f t="array" aca="1" ref="V60" ca="1">IF(AUTOEVENTO="Manual",ROUND(SUMPRODUCT((CÁLCULO!$M$15:$M$22=EVENTOS!$C60)*(OFFSET(CÁLCULO!$AA$15:$AA$22,0,V$13))),2),0)</f>
        <v>0</v>
      </c>
      <c r="W60" s="620" cm="1">
        <f t="array" aca="1" ref="W60" ca="1">IF(AUTOEVENTO="Manual",ROUND(SUMPRODUCT((CÁLCULO!$M$15:$M$22=EVENTOS!$C60)*(OFFSET(CÁLCULO!$AA$15:$AA$22,0,W$13))),2),0)</f>
        <v>0</v>
      </c>
      <c r="X60" s="620" cm="1">
        <f t="array" aca="1" ref="X60" ca="1">IF(AUTOEVENTO="Manual",ROUND(SUMPRODUCT((CÁLCULO!$M$15:$M$22=EVENTOS!$C60)*(OFFSET(CÁLCULO!$AA$15:$AA$22,0,X$13))),2),0)</f>
        <v>0</v>
      </c>
      <c r="Y60" s="620" cm="1">
        <f t="array" aca="1" ref="Y60" ca="1">IF(AUTOEVENTO="Manual",ROUND(SUMPRODUCT((CÁLCULO!$M$15:$M$22=EVENTOS!$C60)*(OFFSET(CÁLCULO!$AA$15:$AA$22,0,Y$13))),2),0)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IF(AUTOEVENTO="Manual",ROUND(SUMPRODUCT((CÁLCULO!$M$15:$M$22=EVENTOS!$C61)*(OFFSET(CÁLCULO!$AA$15:$AA$22,0,E$13))),2),0)</f>
        <v>0</v>
      </c>
      <c r="F61" s="183">
        <f ca="1">IF(AUTOEVENTO="Manual",ROUND(SUMPRODUCT((CÁLCULO!$M$15:$M$22=EVENTOS!$C61)*(OFFSET(CÁLCULO!$AA$15,0,1):OFFSET(CÁLCULO!$AL$22,0,-1))),2),0)</f>
        <v>0</v>
      </c>
      <c r="G61" s="621" t="str">
        <f t="shared" ca="1" si="6"/>
        <v/>
      </c>
      <c r="H61" s="620" cm="1">
        <f t="array" aca="1" ref="H61" ca="1">IF(AUTOEVENTO="Manual",ROUND(SUMPRODUCT((CÁLCULO!$M$15:$M$22=EVENTOS!$C61)*(OFFSET(CÁLCULO!$AA$15:$AA$22,0,H$13))),2),0)</f>
        <v>0</v>
      </c>
      <c r="I61" s="620" cm="1">
        <f t="array" aca="1" ref="I61" ca="1">IF(AUTOEVENTO="Manual",ROUND(SUMPRODUCT((CÁLCULO!$M$15:$M$22=EVENTOS!$C61)*(OFFSET(CÁLCULO!$AA$15:$AA$22,0,I$13))),2),0)</f>
        <v>0</v>
      </c>
      <c r="J61" s="620" cm="1">
        <f t="array" aca="1" ref="J61" ca="1">IF(AUTOEVENTO="Manual",ROUND(SUMPRODUCT((CÁLCULO!$M$15:$M$22=EVENTOS!$C61)*(OFFSET(CÁLCULO!$AA$15:$AA$22,0,J$13))),2),0)</f>
        <v>0</v>
      </c>
      <c r="K61" s="620" cm="1">
        <f t="array" aca="1" ref="K61" ca="1">IF(AUTOEVENTO="Manual",ROUND(SUMPRODUCT((CÁLCULO!$M$15:$M$22=EVENTOS!$C61)*(OFFSET(CÁLCULO!$AA$15:$AA$22,0,K$13))),2),0)</f>
        <v>0</v>
      </c>
      <c r="L61" s="620" cm="1">
        <f t="array" aca="1" ref="L61" ca="1">IF(AUTOEVENTO="Manual",ROUND(SUMPRODUCT((CÁLCULO!$M$15:$M$22=EVENTOS!$C61)*(OFFSET(CÁLCULO!$AA$15:$AA$22,0,L$13))),2),0)</f>
        <v>0</v>
      </c>
      <c r="M61" s="620" cm="1">
        <f t="array" aca="1" ref="M61" ca="1">IF(AUTOEVENTO="Manual",ROUND(SUMPRODUCT((CÁLCULO!$M$15:$M$22=EVENTOS!$C61)*(OFFSET(CÁLCULO!$AA$15:$AA$22,0,M$13))),2),0)</f>
        <v>0</v>
      </c>
      <c r="N61" s="620" cm="1">
        <f t="array" aca="1" ref="N61" ca="1">IF(AUTOEVENTO="Manual",ROUND(SUMPRODUCT((CÁLCULO!$M$15:$M$22=EVENTOS!$C61)*(OFFSET(CÁLCULO!$AA$15:$AA$22,0,N$13))),2),0)</f>
        <v>0</v>
      </c>
      <c r="O61" s="620" cm="1">
        <f t="array" aca="1" ref="O61" ca="1">IF(AUTOEVENTO="Manual",ROUND(SUMPRODUCT((CÁLCULO!$M$15:$M$22=EVENTOS!$C61)*(OFFSET(CÁLCULO!$AA$15:$AA$22,0,O$13))),2),0)</f>
        <v>0</v>
      </c>
      <c r="P61" s="620" cm="1">
        <f t="array" aca="1" ref="P61" ca="1">IF(AUTOEVENTO="Manual",ROUND(SUMPRODUCT((CÁLCULO!$M$15:$M$22=EVENTOS!$C61)*(OFFSET(CÁLCULO!$AA$15:$AA$22,0,P$13))),2),0)</f>
        <v>0</v>
      </c>
      <c r="Q61" s="620" cm="1">
        <f t="array" aca="1" ref="Q61" ca="1">IF(AUTOEVENTO="Manual",ROUND(SUMPRODUCT((CÁLCULO!$M$15:$M$22=EVENTOS!$C61)*(OFFSET(CÁLCULO!$AA$15:$AA$22,0,Q$13))),2),0)</f>
        <v>0</v>
      </c>
      <c r="R61" s="620" cm="1">
        <f t="array" aca="1" ref="R61" ca="1">IF(AUTOEVENTO="Manual",ROUND(SUMPRODUCT((CÁLCULO!$M$15:$M$22=EVENTOS!$C61)*(OFFSET(CÁLCULO!$AA$15:$AA$22,0,R$13))),2),0)</f>
        <v>0</v>
      </c>
      <c r="S61" s="620" cm="1">
        <f t="array" aca="1" ref="S61" ca="1">IF(AUTOEVENTO="Manual",ROUND(SUMPRODUCT((CÁLCULO!$M$15:$M$22=EVENTOS!$C61)*(OFFSET(CÁLCULO!$AA$15:$AA$22,0,S$13))),2),0)</f>
        <v>0</v>
      </c>
      <c r="T61" s="620" cm="1">
        <f t="array" aca="1" ref="T61" ca="1">IF(AUTOEVENTO="Manual",ROUND(SUMPRODUCT((CÁLCULO!$M$15:$M$22=EVENTOS!$C61)*(OFFSET(CÁLCULO!$AA$15:$AA$22,0,T$13))),2),0)</f>
        <v>0</v>
      </c>
      <c r="U61" s="620" cm="1">
        <f t="array" aca="1" ref="U61" ca="1">IF(AUTOEVENTO="Manual",ROUND(SUMPRODUCT((CÁLCULO!$M$15:$M$22=EVENTOS!$C61)*(OFFSET(CÁLCULO!$AA$15:$AA$22,0,U$13))),2),0)</f>
        <v>0</v>
      </c>
      <c r="V61" s="620" cm="1">
        <f t="array" aca="1" ref="V61" ca="1">IF(AUTOEVENTO="Manual",ROUND(SUMPRODUCT((CÁLCULO!$M$15:$M$22=EVENTOS!$C61)*(OFFSET(CÁLCULO!$AA$15:$AA$22,0,V$13))),2),0)</f>
        <v>0</v>
      </c>
      <c r="W61" s="620" cm="1">
        <f t="array" aca="1" ref="W61" ca="1">IF(AUTOEVENTO="Manual",ROUND(SUMPRODUCT((CÁLCULO!$M$15:$M$22=EVENTOS!$C61)*(OFFSET(CÁLCULO!$AA$15:$AA$22,0,W$13))),2),0)</f>
        <v>0</v>
      </c>
      <c r="X61" s="620" cm="1">
        <f t="array" aca="1" ref="X61" ca="1">IF(AUTOEVENTO="Manual",ROUND(SUMPRODUCT((CÁLCULO!$M$15:$M$22=EVENTOS!$C61)*(OFFSET(CÁLCULO!$AA$15:$AA$22,0,X$13))),2),0)</f>
        <v>0</v>
      </c>
      <c r="Y61" s="620" cm="1">
        <f t="array" aca="1" ref="Y61" ca="1">IF(AUTOEVENTO="Manual",ROUND(SUMPRODUCT((CÁLCULO!$M$15:$M$22=EVENTOS!$C61)*(OFFSET(CÁLCULO!$AA$15:$AA$22,0,Y$13))),2),0)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IF(AUTOEVENTO="Manual",ROUND(SUMPRODUCT((CÁLCULO!$M$15:$M$22=EVENTOS!$C62)*(OFFSET(CÁLCULO!$AA$15:$AA$22,0,E$13))),2),0)</f>
        <v>0</v>
      </c>
      <c r="F62" s="183">
        <f ca="1">IF(AUTOEVENTO="Manual",ROUND(SUMPRODUCT((CÁLCULO!$M$15:$M$22=EVENTOS!$C62)*(OFFSET(CÁLCULO!$AA$15,0,1):OFFSET(CÁLCULO!$AL$22,0,-1))),2),0)</f>
        <v>0</v>
      </c>
      <c r="G62" s="621" t="str">
        <f t="shared" ca="1" si="6"/>
        <v/>
      </c>
      <c r="H62" s="620" cm="1">
        <f t="array" aca="1" ref="H62" ca="1">IF(AUTOEVENTO="Manual",ROUND(SUMPRODUCT((CÁLCULO!$M$15:$M$22=EVENTOS!$C62)*(OFFSET(CÁLCULO!$AA$15:$AA$22,0,H$13))),2),0)</f>
        <v>0</v>
      </c>
      <c r="I62" s="620" cm="1">
        <f t="array" aca="1" ref="I62" ca="1">IF(AUTOEVENTO="Manual",ROUND(SUMPRODUCT((CÁLCULO!$M$15:$M$22=EVENTOS!$C62)*(OFFSET(CÁLCULO!$AA$15:$AA$22,0,I$13))),2),0)</f>
        <v>0</v>
      </c>
      <c r="J62" s="620" cm="1">
        <f t="array" aca="1" ref="J62" ca="1">IF(AUTOEVENTO="Manual",ROUND(SUMPRODUCT((CÁLCULO!$M$15:$M$22=EVENTOS!$C62)*(OFFSET(CÁLCULO!$AA$15:$AA$22,0,J$13))),2),0)</f>
        <v>0</v>
      </c>
      <c r="K62" s="620" cm="1">
        <f t="array" aca="1" ref="K62" ca="1">IF(AUTOEVENTO="Manual",ROUND(SUMPRODUCT((CÁLCULO!$M$15:$M$22=EVENTOS!$C62)*(OFFSET(CÁLCULO!$AA$15:$AA$22,0,K$13))),2),0)</f>
        <v>0</v>
      </c>
      <c r="L62" s="620" cm="1">
        <f t="array" aca="1" ref="L62" ca="1">IF(AUTOEVENTO="Manual",ROUND(SUMPRODUCT((CÁLCULO!$M$15:$M$22=EVENTOS!$C62)*(OFFSET(CÁLCULO!$AA$15:$AA$22,0,L$13))),2),0)</f>
        <v>0</v>
      </c>
      <c r="M62" s="620" cm="1">
        <f t="array" aca="1" ref="M62" ca="1">IF(AUTOEVENTO="Manual",ROUND(SUMPRODUCT((CÁLCULO!$M$15:$M$22=EVENTOS!$C62)*(OFFSET(CÁLCULO!$AA$15:$AA$22,0,M$13))),2),0)</f>
        <v>0</v>
      </c>
      <c r="N62" s="620" cm="1">
        <f t="array" aca="1" ref="N62" ca="1">IF(AUTOEVENTO="Manual",ROUND(SUMPRODUCT((CÁLCULO!$M$15:$M$22=EVENTOS!$C62)*(OFFSET(CÁLCULO!$AA$15:$AA$22,0,N$13))),2),0)</f>
        <v>0</v>
      </c>
      <c r="O62" s="620" cm="1">
        <f t="array" aca="1" ref="O62" ca="1">IF(AUTOEVENTO="Manual",ROUND(SUMPRODUCT((CÁLCULO!$M$15:$M$22=EVENTOS!$C62)*(OFFSET(CÁLCULO!$AA$15:$AA$22,0,O$13))),2),0)</f>
        <v>0</v>
      </c>
      <c r="P62" s="620" cm="1">
        <f t="array" aca="1" ref="P62" ca="1">IF(AUTOEVENTO="Manual",ROUND(SUMPRODUCT((CÁLCULO!$M$15:$M$22=EVENTOS!$C62)*(OFFSET(CÁLCULO!$AA$15:$AA$22,0,P$13))),2),0)</f>
        <v>0</v>
      </c>
      <c r="Q62" s="620" cm="1">
        <f t="array" aca="1" ref="Q62" ca="1">IF(AUTOEVENTO="Manual",ROUND(SUMPRODUCT((CÁLCULO!$M$15:$M$22=EVENTOS!$C62)*(OFFSET(CÁLCULO!$AA$15:$AA$22,0,Q$13))),2),0)</f>
        <v>0</v>
      </c>
      <c r="R62" s="620" cm="1">
        <f t="array" aca="1" ref="R62" ca="1">IF(AUTOEVENTO="Manual",ROUND(SUMPRODUCT((CÁLCULO!$M$15:$M$22=EVENTOS!$C62)*(OFFSET(CÁLCULO!$AA$15:$AA$22,0,R$13))),2),0)</f>
        <v>0</v>
      </c>
      <c r="S62" s="620" cm="1">
        <f t="array" aca="1" ref="S62" ca="1">IF(AUTOEVENTO="Manual",ROUND(SUMPRODUCT((CÁLCULO!$M$15:$M$22=EVENTOS!$C62)*(OFFSET(CÁLCULO!$AA$15:$AA$22,0,S$13))),2),0)</f>
        <v>0</v>
      </c>
      <c r="T62" s="620" cm="1">
        <f t="array" aca="1" ref="T62" ca="1">IF(AUTOEVENTO="Manual",ROUND(SUMPRODUCT((CÁLCULO!$M$15:$M$22=EVENTOS!$C62)*(OFFSET(CÁLCULO!$AA$15:$AA$22,0,T$13))),2),0)</f>
        <v>0</v>
      </c>
      <c r="U62" s="620" cm="1">
        <f t="array" aca="1" ref="U62" ca="1">IF(AUTOEVENTO="Manual",ROUND(SUMPRODUCT((CÁLCULO!$M$15:$M$22=EVENTOS!$C62)*(OFFSET(CÁLCULO!$AA$15:$AA$22,0,U$13))),2),0)</f>
        <v>0</v>
      </c>
      <c r="V62" s="620" cm="1">
        <f t="array" aca="1" ref="V62" ca="1">IF(AUTOEVENTO="Manual",ROUND(SUMPRODUCT((CÁLCULO!$M$15:$M$22=EVENTOS!$C62)*(OFFSET(CÁLCULO!$AA$15:$AA$22,0,V$13))),2),0)</f>
        <v>0</v>
      </c>
      <c r="W62" s="620" cm="1">
        <f t="array" aca="1" ref="W62" ca="1">IF(AUTOEVENTO="Manual",ROUND(SUMPRODUCT((CÁLCULO!$M$15:$M$22=EVENTOS!$C62)*(OFFSET(CÁLCULO!$AA$15:$AA$22,0,W$13))),2),0)</f>
        <v>0</v>
      </c>
      <c r="X62" s="620" cm="1">
        <f t="array" aca="1" ref="X62" ca="1">IF(AUTOEVENTO="Manual",ROUND(SUMPRODUCT((CÁLCULO!$M$15:$M$22=EVENTOS!$C62)*(OFFSET(CÁLCULO!$AA$15:$AA$22,0,X$13))),2),0)</f>
        <v>0</v>
      </c>
      <c r="Y62" s="620" cm="1">
        <f t="array" aca="1" ref="Y62" ca="1">IF(AUTOEVENTO="Manual",ROUND(SUMPRODUCT((CÁLCULO!$M$15:$M$22=EVENTOS!$C62)*(OFFSET(CÁLCULO!$AA$15:$AA$22,0,Y$13))),2),0)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IF(AUTOEVENTO="Manual",ROUND(SUMPRODUCT((CÁLCULO!$M$15:$M$22=EVENTOS!$C63)*(OFFSET(CÁLCULO!$AA$15:$AA$22,0,E$13))),2),0)</f>
        <v>0</v>
      </c>
      <c r="F63" s="183">
        <f ca="1">IF(AUTOEVENTO="Manual",ROUND(SUMPRODUCT((CÁLCULO!$M$15:$M$22=EVENTOS!$C63)*(OFFSET(CÁLCULO!$AA$15,0,1):OFFSET(CÁLCULO!$AL$22,0,-1))),2),0)</f>
        <v>0</v>
      </c>
      <c r="G63" s="621" t="str">
        <f t="shared" ca="1" si="6"/>
        <v/>
      </c>
      <c r="H63" s="620" cm="1">
        <f t="array" aca="1" ref="H63" ca="1">IF(AUTOEVENTO="Manual",ROUND(SUMPRODUCT((CÁLCULO!$M$15:$M$22=EVENTOS!$C63)*(OFFSET(CÁLCULO!$AA$15:$AA$22,0,H$13))),2),0)</f>
        <v>0</v>
      </c>
      <c r="I63" s="620" cm="1">
        <f t="array" aca="1" ref="I63" ca="1">IF(AUTOEVENTO="Manual",ROUND(SUMPRODUCT((CÁLCULO!$M$15:$M$22=EVENTOS!$C63)*(OFFSET(CÁLCULO!$AA$15:$AA$22,0,I$13))),2),0)</f>
        <v>0</v>
      </c>
      <c r="J63" s="620" cm="1">
        <f t="array" aca="1" ref="J63" ca="1">IF(AUTOEVENTO="Manual",ROUND(SUMPRODUCT((CÁLCULO!$M$15:$M$22=EVENTOS!$C63)*(OFFSET(CÁLCULO!$AA$15:$AA$22,0,J$13))),2),0)</f>
        <v>0</v>
      </c>
      <c r="K63" s="620" cm="1">
        <f t="array" aca="1" ref="K63" ca="1">IF(AUTOEVENTO="Manual",ROUND(SUMPRODUCT((CÁLCULO!$M$15:$M$22=EVENTOS!$C63)*(OFFSET(CÁLCULO!$AA$15:$AA$22,0,K$13))),2),0)</f>
        <v>0</v>
      </c>
      <c r="L63" s="620" cm="1">
        <f t="array" aca="1" ref="L63" ca="1">IF(AUTOEVENTO="Manual",ROUND(SUMPRODUCT((CÁLCULO!$M$15:$M$22=EVENTOS!$C63)*(OFFSET(CÁLCULO!$AA$15:$AA$22,0,L$13))),2),0)</f>
        <v>0</v>
      </c>
      <c r="M63" s="620" cm="1">
        <f t="array" aca="1" ref="M63" ca="1">IF(AUTOEVENTO="Manual",ROUND(SUMPRODUCT((CÁLCULO!$M$15:$M$22=EVENTOS!$C63)*(OFFSET(CÁLCULO!$AA$15:$AA$22,0,M$13))),2),0)</f>
        <v>0</v>
      </c>
      <c r="N63" s="620" cm="1">
        <f t="array" aca="1" ref="N63" ca="1">IF(AUTOEVENTO="Manual",ROUND(SUMPRODUCT((CÁLCULO!$M$15:$M$22=EVENTOS!$C63)*(OFFSET(CÁLCULO!$AA$15:$AA$22,0,N$13))),2),0)</f>
        <v>0</v>
      </c>
      <c r="O63" s="620" cm="1">
        <f t="array" aca="1" ref="O63" ca="1">IF(AUTOEVENTO="Manual",ROUND(SUMPRODUCT((CÁLCULO!$M$15:$M$22=EVENTOS!$C63)*(OFFSET(CÁLCULO!$AA$15:$AA$22,0,O$13))),2),0)</f>
        <v>0</v>
      </c>
      <c r="P63" s="620" cm="1">
        <f t="array" aca="1" ref="P63" ca="1">IF(AUTOEVENTO="Manual",ROUND(SUMPRODUCT((CÁLCULO!$M$15:$M$22=EVENTOS!$C63)*(OFFSET(CÁLCULO!$AA$15:$AA$22,0,P$13))),2),0)</f>
        <v>0</v>
      </c>
      <c r="Q63" s="620" cm="1">
        <f t="array" aca="1" ref="Q63" ca="1">IF(AUTOEVENTO="Manual",ROUND(SUMPRODUCT((CÁLCULO!$M$15:$M$22=EVENTOS!$C63)*(OFFSET(CÁLCULO!$AA$15:$AA$22,0,Q$13))),2),0)</f>
        <v>0</v>
      </c>
      <c r="R63" s="620" cm="1">
        <f t="array" aca="1" ref="R63" ca="1">IF(AUTOEVENTO="Manual",ROUND(SUMPRODUCT((CÁLCULO!$M$15:$M$22=EVENTOS!$C63)*(OFFSET(CÁLCULO!$AA$15:$AA$22,0,R$13))),2),0)</f>
        <v>0</v>
      </c>
      <c r="S63" s="620" cm="1">
        <f t="array" aca="1" ref="S63" ca="1">IF(AUTOEVENTO="Manual",ROUND(SUMPRODUCT((CÁLCULO!$M$15:$M$22=EVENTOS!$C63)*(OFFSET(CÁLCULO!$AA$15:$AA$22,0,S$13))),2),0)</f>
        <v>0</v>
      </c>
      <c r="T63" s="620" cm="1">
        <f t="array" aca="1" ref="T63" ca="1">IF(AUTOEVENTO="Manual",ROUND(SUMPRODUCT((CÁLCULO!$M$15:$M$22=EVENTOS!$C63)*(OFFSET(CÁLCULO!$AA$15:$AA$22,0,T$13))),2),0)</f>
        <v>0</v>
      </c>
      <c r="U63" s="620" cm="1">
        <f t="array" aca="1" ref="U63" ca="1">IF(AUTOEVENTO="Manual",ROUND(SUMPRODUCT((CÁLCULO!$M$15:$M$22=EVENTOS!$C63)*(OFFSET(CÁLCULO!$AA$15:$AA$22,0,U$13))),2),0)</f>
        <v>0</v>
      </c>
      <c r="V63" s="620" cm="1">
        <f t="array" aca="1" ref="V63" ca="1">IF(AUTOEVENTO="Manual",ROUND(SUMPRODUCT((CÁLCULO!$M$15:$M$22=EVENTOS!$C63)*(OFFSET(CÁLCULO!$AA$15:$AA$22,0,V$13))),2),0)</f>
        <v>0</v>
      </c>
      <c r="W63" s="620" cm="1">
        <f t="array" aca="1" ref="W63" ca="1">IF(AUTOEVENTO="Manual",ROUND(SUMPRODUCT((CÁLCULO!$M$15:$M$22=EVENTOS!$C63)*(OFFSET(CÁLCULO!$AA$15:$AA$22,0,W$13))),2),0)</f>
        <v>0</v>
      </c>
      <c r="X63" s="620" cm="1">
        <f t="array" aca="1" ref="X63" ca="1">IF(AUTOEVENTO="Manual",ROUND(SUMPRODUCT((CÁLCULO!$M$15:$M$22=EVENTOS!$C63)*(OFFSET(CÁLCULO!$AA$15:$AA$22,0,X$13))),2),0)</f>
        <v>0</v>
      </c>
      <c r="Y63" s="620" cm="1">
        <f t="array" aca="1" ref="Y63" ca="1">IF(AUTOEVENTO="Manual",ROUND(SUMPRODUCT((CÁLCULO!$M$15:$M$22=EVENTOS!$C63)*(OFFSET(CÁLCULO!$AA$15:$AA$22,0,Y$13))),2),0)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IF(AUTOEVENTO="Manual",ROUND(SUMPRODUCT((CÁLCULO!$M$15:$M$22=EVENTOS!$C64)*(OFFSET(CÁLCULO!$AA$15:$AA$22,0,E$13))),2),0)</f>
        <v>0</v>
      </c>
      <c r="F64" s="183">
        <f ca="1">IF(AUTOEVENTO="Manual",ROUND(SUMPRODUCT((CÁLCULO!$M$15:$M$22=EVENTOS!$C64)*(OFFSET(CÁLCULO!$AA$15,0,1):OFFSET(CÁLCULO!$AL$22,0,-1))),2),0)</f>
        <v>0</v>
      </c>
      <c r="G64" s="621" t="str">
        <f t="shared" ca="1" si="6"/>
        <v/>
      </c>
      <c r="H64" s="620" cm="1">
        <f t="array" aca="1" ref="H64" ca="1">IF(AUTOEVENTO="Manual",ROUND(SUMPRODUCT((CÁLCULO!$M$15:$M$22=EVENTOS!$C64)*(OFFSET(CÁLCULO!$AA$15:$AA$22,0,H$13))),2),0)</f>
        <v>0</v>
      </c>
      <c r="I64" s="620" cm="1">
        <f t="array" aca="1" ref="I64" ca="1">IF(AUTOEVENTO="Manual",ROUND(SUMPRODUCT((CÁLCULO!$M$15:$M$22=EVENTOS!$C64)*(OFFSET(CÁLCULO!$AA$15:$AA$22,0,I$13))),2),0)</f>
        <v>0</v>
      </c>
      <c r="J64" s="620" cm="1">
        <f t="array" aca="1" ref="J64" ca="1">IF(AUTOEVENTO="Manual",ROUND(SUMPRODUCT((CÁLCULO!$M$15:$M$22=EVENTOS!$C64)*(OFFSET(CÁLCULO!$AA$15:$AA$22,0,J$13))),2),0)</f>
        <v>0</v>
      </c>
      <c r="K64" s="620" cm="1">
        <f t="array" aca="1" ref="K64" ca="1">IF(AUTOEVENTO="Manual",ROUND(SUMPRODUCT((CÁLCULO!$M$15:$M$22=EVENTOS!$C64)*(OFFSET(CÁLCULO!$AA$15:$AA$22,0,K$13))),2),0)</f>
        <v>0</v>
      </c>
      <c r="L64" s="620" cm="1">
        <f t="array" aca="1" ref="L64" ca="1">IF(AUTOEVENTO="Manual",ROUND(SUMPRODUCT((CÁLCULO!$M$15:$M$22=EVENTOS!$C64)*(OFFSET(CÁLCULO!$AA$15:$AA$22,0,L$13))),2),0)</f>
        <v>0</v>
      </c>
      <c r="M64" s="620" cm="1">
        <f t="array" aca="1" ref="M64" ca="1">IF(AUTOEVENTO="Manual",ROUND(SUMPRODUCT((CÁLCULO!$M$15:$M$22=EVENTOS!$C64)*(OFFSET(CÁLCULO!$AA$15:$AA$22,0,M$13))),2),0)</f>
        <v>0</v>
      </c>
      <c r="N64" s="620" cm="1">
        <f t="array" aca="1" ref="N64" ca="1">IF(AUTOEVENTO="Manual",ROUND(SUMPRODUCT((CÁLCULO!$M$15:$M$22=EVENTOS!$C64)*(OFFSET(CÁLCULO!$AA$15:$AA$22,0,N$13))),2),0)</f>
        <v>0</v>
      </c>
      <c r="O64" s="620" cm="1">
        <f t="array" aca="1" ref="O64" ca="1">IF(AUTOEVENTO="Manual",ROUND(SUMPRODUCT((CÁLCULO!$M$15:$M$22=EVENTOS!$C64)*(OFFSET(CÁLCULO!$AA$15:$AA$22,0,O$13))),2),0)</f>
        <v>0</v>
      </c>
      <c r="P64" s="620" cm="1">
        <f t="array" aca="1" ref="P64" ca="1">IF(AUTOEVENTO="Manual",ROUND(SUMPRODUCT((CÁLCULO!$M$15:$M$22=EVENTOS!$C64)*(OFFSET(CÁLCULO!$AA$15:$AA$22,0,P$13))),2),0)</f>
        <v>0</v>
      </c>
      <c r="Q64" s="620" cm="1">
        <f t="array" aca="1" ref="Q64" ca="1">IF(AUTOEVENTO="Manual",ROUND(SUMPRODUCT((CÁLCULO!$M$15:$M$22=EVENTOS!$C64)*(OFFSET(CÁLCULO!$AA$15:$AA$22,0,Q$13))),2),0)</f>
        <v>0</v>
      </c>
      <c r="R64" s="620" cm="1">
        <f t="array" aca="1" ref="R64" ca="1">IF(AUTOEVENTO="Manual",ROUND(SUMPRODUCT((CÁLCULO!$M$15:$M$22=EVENTOS!$C64)*(OFFSET(CÁLCULO!$AA$15:$AA$22,0,R$13))),2),0)</f>
        <v>0</v>
      </c>
      <c r="S64" s="620" cm="1">
        <f t="array" aca="1" ref="S64" ca="1">IF(AUTOEVENTO="Manual",ROUND(SUMPRODUCT((CÁLCULO!$M$15:$M$22=EVENTOS!$C64)*(OFFSET(CÁLCULO!$AA$15:$AA$22,0,S$13))),2),0)</f>
        <v>0</v>
      </c>
      <c r="T64" s="620" cm="1">
        <f t="array" aca="1" ref="T64" ca="1">IF(AUTOEVENTO="Manual",ROUND(SUMPRODUCT((CÁLCULO!$M$15:$M$22=EVENTOS!$C64)*(OFFSET(CÁLCULO!$AA$15:$AA$22,0,T$13))),2),0)</f>
        <v>0</v>
      </c>
      <c r="U64" s="620" cm="1">
        <f t="array" aca="1" ref="U64" ca="1">IF(AUTOEVENTO="Manual",ROUND(SUMPRODUCT((CÁLCULO!$M$15:$M$22=EVENTOS!$C64)*(OFFSET(CÁLCULO!$AA$15:$AA$22,0,U$13))),2),0)</f>
        <v>0</v>
      </c>
      <c r="V64" s="620" cm="1">
        <f t="array" aca="1" ref="V64" ca="1">IF(AUTOEVENTO="Manual",ROUND(SUMPRODUCT((CÁLCULO!$M$15:$M$22=EVENTOS!$C64)*(OFFSET(CÁLCULO!$AA$15:$AA$22,0,V$13))),2),0)</f>
        <v>0</v>
      </c>
      <c r="W64" s="620" cm="1">
        <f t="array" aca="1" ref="W64" ca="1">IF(AUTOEVENTO="Manual",ROUND(SUMPRODUCT((CÁLCULO!$M$15:$M$22=EVENTOS!$C64)*(OFFSET(CÁLCULO!$AA$15:$AA$22,0,W$13))),2),0)</f>
        <v>0</v>
      </c>
      <c r="X64" s="620" cm="1">
        <f t="array" aca="1" ref="X64" ca="1">IF(AUTOEVENTO="Manual",ROUND(SUMPRODUCT((CÁLCULO!$M$15:$M$22=EVENTOS!$C64)*(OFFSET(CÁLCULO!$AA$15:$AA$22,0,X$13))),2),0)</f>
        <v>0</v>
      </c>
      <c r="Y64" s="620" cm="1">
        <f t="array" aca="1" ref="Y64" ca="1">IF(AUTOEVENTO="Manual",ROUND(SUMPRODUCT((CÁLCULO!$M$15:$M$22=EVENTOS!$C64)*(OFFSET(CÁLCULO!$AA$15:$AA$22,0,Y$13))),2),0)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Ivorá/RS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Vitor Camargo Costa</v>
      </c>
      <c r="V70" s="398" t="str">
        <f t="array" aca="1" ref="V70:V72" ca="1">OFFSET(Import.RespOrçamento,0,-1) &amp; " " &amp; Import.RespOrçamento</f>
        <v>Nome: Vitor Camargo Costa</v>
      </c>
    </row>
    <row r="71" spans="1:25" x14ac:dyDescent="0.2">
      <c r="A71" s="506" t="s">
        <v>536</v>
      </c>
      <c r="D71" s="494">
        <f>DADOS!$C$25</f>
        <v>45957</v>
      </c>
      <c r="L71" s="398" t="str">
        <f ca="1"/>
        <v>CREA/CAU: RS203284</v>
      </c>
      <c r="V71" s="398" t="str">
        <f ca="1"/>
        <v>CREA/CAU: RS203284</v>
      </c>
    </row>
    <row r="72" spans="1:25" x14ac:dyDescent="0.2">
      <c r="A72" s="506" t="s">
        <v>536</v>
      </c>
      <c r="D72" s="9" t="s">
        <v>694</v>
      </c>
      <c r="L72" s="398" t="str">
        <f ca="1"/>
        <v xml:space="preserve">ART/RRT: </v>
      </c>
      <c r="V72" s="398" t="str">
        <f ca="1"/>
        <v xml:space="preserve">ART/RRT: </v>
      </c>
    </row>
  </sheetData>
  <sheetProtection algorithmName="SHA-512" hashValue="4wePAAv7iyX3k+WCEfrHB/wIbe5CPQ62AtS28ijie0bLw0dG1Tni5bqY9XrTiADFXj+YWWxDoPfiuTbXhMKh1w==" saltValue="8fhpUUGMqwbj3JgzEogSHg=="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358" priority="1" stopIfTrue="1">
      <formula>OR(AUTOEVENTO&lt;&gt;"Manual",ACOMPANHAMENTO="BM",C$10=0,C$13=0,$C1=" ")</formula>
    </cfRule>
  </conditionalFormatting>
  <conditionalFormatting sqref="A15 C15:XFD15">
    <cfRule type="expression" dxfId="357"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290"/>
  <sheetViews>
    <sheetView showGridLines="0" zoomScaleNormal="100" zoomScaleSheetLayoutView="90" workbookViewId="0">
      <pane xSplit="8" ySplit="15" topLeftCell="P16" activePane="bottomRight" state="frozen"/>
      <selection pane="topRight" activeCell="I1" sqref="I1"/>
      <selection pane="bottomLeft" activeCell="C16" sqref="C16"/>
      <selection pane="bottomRight" activeCell="R19" sqref="R19"/>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PLQ - PLANILHA DE LEVANTAMENTO DE QUANTIDADES</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Memória de Cálculo - (SELECIONAR)</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Pavimentação Eliseu Didonet</v>
      </c>
      <c r="F10" s="680"/>
      <c r="G10" s="680" cm="1">
        <f t="array" ref="G10">Import.TransfereGOV</f>
        <v>0</v>
      </c>
      <c r="H10" s="680"/>
      <c r="I10" s="90">
        <f>Import.CR</f>
        <v>0</v>
      </c>
      <c r="K10" s="148">
        <f>Import.Proponente</f>
        <v>0</v>
      </c>
      <c r="L10" s="149"/>
      <c r="M10" s="100"/>
      <c r="N10" s="149"/>
      <c r="O10" s="149"/>
      <c r="P10" s="149"/>
      <c r="Q10" s="149"/>
      <c r="R10" s="91"/>
      <c r="S10" s="680">
        <f>Import.CR</f>
        <v>0</v>
      </c>
      <c r="T10" s="680"/>
      <c r="U10" s="680">
        <f>Import.Proponente</f>
        <v>0</v>
      </c>
      <c r="V10" s="680"/>
      <c r="W10" s="680"/>
      <c r="X10" s="680"/>
      <c r="Y10" s="680"/>
      <c r="Z10" s="680"/>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IF(COUNTIF($J$15:$J$22,"►E")&gt;0,"Não pode haver serviços sem agrupador de eventos",
  IF(COUNTIF($P$11:$AA$11,"▼")&gt;0,"Não pode haver frentes de obra sem quantidades",
  IF(COUNTIF($P$11:$AA$11,"Nome &gt;100")&gt;0,"Nome da frente de obra com mais de 100 caracteres","")))))</f>
        <v/>
      </c>
      <c r="N11" s="573" t="str">
        <f ca="1">IF(OR(COUNTIF($J$15:$J$22,"►E")&gt;0,COUNTIF($J$15:$J$22,"►Q")&gt;0),"",
IF(COUNTIF($J$15:$J$22,"►S")&gt;0,"Preencha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IF(COUNTIF($J$15:$J$22,"►E")&gt;0,"Falta Definir o Agrupador de Evento na linha "&amp;MATCH("►E",$J$15:$J$22,0)+ROW($J$14),
  IF(COUNTIF($J$15:$J$22,"►Q")&gt;0,"Falta preencher a quantidade do serviço na linha "&amp;MATCH("►Q",$J$15:$J$22,0)+ROW($J$14),
  IF(COUNTIF($J$15:$J$22,"►S")&gt;0,"Verifique as quantidades preenchidas na linha "&amp;MATCH("►S",$J$15:$J$22,0)+ROW($J$14),
  IF(AND(COUNTIF($P$11:$AA$11,"▼")=0,COUNTIF($J$15:$J$22,"◄")&gt;0),"Falta Preencher o Memorial de Cálculo na linha "&amp;MATCH("◄",$J$15:$J$22,0)+ROW($J$14),"")))))</f>
        <v/>
      </c>
      <c r="J12" s="151" t="s">
        <v>764</v>
      </c>
      <c r="K12" s="152" t="s">
        <v>770</v>
      </c>
      <c r="L12" s="151" t="s">
        <v>764</v>
      </c>
      <c r="M12" s="570" cm="1">
        <f t="array" aca="1" ref="M12" ca="1">IF(ACOMPANHAMENTO="BM",0,MAX($M$15:$M$22))</f>
        <v>2</v>
      </c>
      <c r="N12" s="574" t="str">
        <f ca="1">IF(AND(ACOMPANHAMENTO="PLE",CÁLCULO.FrentesPreenchidas=0),"Preencher os nomes das Frentes de Obra ►","FRENTES DE OBRA:")</f>
        <v>FRENTES DE OBRA:</v>
      </c>
      <c r="O12" s="153"/>
      <c r="P12" s="151" t="s">
        <v>764</v>
      </c>
      <c r="Q12" s="452" t="s">
        <v>1009</v>
      </c>
      <c r="R12" s="153" t="s">
        <v>1010</v>
      </c>
      <c r="S12" s="153"/>
      <c r="T12" s="520"/>
      <c r="U12" s="153"/>
      <c r="V12" s="153"/>
      <c r="W12" s="153"/>
      <c r="X12" s="153"/>
      <c r="Y12" s="153"/>
      <c r="Z12" s="154"/>
      <c r="AA12" s="151" t="s">
        <v>764</v>
      </c>
      <c r="AB12" s="155" t="str">
        <f ca="1">IF(OFFSET($P$1,0,AB$13)=0,0,OFFSET($P$12,0,AB$13))</f>
        <v>Mês 1</v>
      </c>
      <c r="AC12" s="155" t="str">
        <f t="shared" ref="AC12:AK12" ca="1" si="1">IF(OFFSET($P$1,0,AC$13)=0,0,OFFSET($P$12,0,AC$13))</f>
        <v>Mês 2</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Mês 1</v>
      </c>
      <c r="AN12" s="156" t="str">
        <f t="shared" ca="1" si="2"/>
        <v>Mês 2</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Pavimentação em Paralelepípedos Eliseu Didonet</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f>Import.DescLote</f>
        <v>0</v>
      </c>
      <c r="F15" s="741"/>
      <c r="G15" s="741"/>
      <c r="H15" s="741"/>
      <c r="I15" s="469"/>
      <c r="J15" s="522"/>
      <c r="K15" s="633"/>
      <c r="L15" s="165">
        <v>0</v>
      </c>
      <c r="M15" s="568">
        <v>0</v>
      </c>
      <c r="N15" s="173" t="s">
        <v>776</v>
      </c>
      <c r="O15" s="174" t="e">
        <f ca="1">OFFSET($AA$15,0,O$13)</f>
        <v>#VALUE!</v>
      </c>
      <c r="Q15" s="175">
        <f t="shared" ref="Q15:Z15" ca="1" si="5">OFFSET($AA$15,0,Q$13)</f>
        <v>65920.31</v>
      </c>
      <c r="R15" s="174">
        <f t="shared" ca="1" si="5"/>
        <v>65920.31</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ROUND(SUM(OFFSET(AB$15,1,0):AB$22),2)</f>
        <v>65920.31</v>
      </c>
      <c r="AC15" s="177">
        <f ca="1">SUM(OFFSET(AC$15,1,0):AC$22)</f>
        <v>65920.31</v>
      </c>
      <c r="AD15" s="177">
        <f ca="1">SUM(OFFSET(AD$15,1,0):AD$22)</f>
        <v>0</v>
      </c>
      <c r="AE15" s="177">
        <f ca="1">SUM(OFFSET(AE$15,1,0):AE$22)</f>
        <v>0</v>
      </c>
      <c r="AF15" s="177">
        <f ca="1">SUM(OFFSET(AF$15,1,0):AF$22)</f>
        <v>0</v>
      </c>
      <c r="AG15" s="177">
        <f ca="1">SUM(OFFSET(AG$15,1,0):AG$22)</f>
        <v>0</v>
      </c>
      <c r="AH15" s="177">
        <f ca="1">SUM(OFFSET(AH$15,1,0):AH$22)</f>
        <v>0</v>
      </c>
      <c r="AI15" s="177">
        <f ca="1">SUM(OFFSET(AI$15,1,0):AI$22)</f>
        <v>0</v>
      </c>
      <c r="AJ15" s="177">
        <f ca="1">SUM(OFFSET(AJ$15,1,0):AJ$22)</f>
        <v>0</v>
      </c>
      <c r="AK15" s="177">
        <f ca="1">SUM(OFFSET(AK$15,1,0):AK$22)</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21"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Pavimentação em Paralelepípedos Eliseu Didonet</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21"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Local</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6" t="str">
        <f ca="1">OFFSET(ORÇAMENTO!N$15,$L18,0)</f>
        <v>Serviço</v>
      </c>
      <c r="E18" s="117" t="str">
        <f ca="1">OFFSET(ORÇAMENTO!O$15,$L18,0)</f>
        <v>1.1.1.</v>
      </c>
      <c r="F18" s="163" t="str">
        <f ca="1">OFFSET(ORÇAMENTO!R$15,$L18,0)</f>
        <v>ENGENHEIRO CIVIL DE OBRA PLENO COM ENCARGOS COMPLEMENTARES</v>
      </c>
      <c r="G18" s="164" t="str">
        <f ca="1">IF($D18&lt;&gt;"Serviço","",OFFSET(ORÇAMENTO!S$15,$L18,0))</f>
        <v>H</v>
      </c>
      <c r="H18" s="122" cm="1">
        <f t="array" aca="1" ref="H18" ca="1">IF($D18&lt;&gt;"Serviço",0,IF(ACOMPANHAMENTO="BM",ROUND(OFFSET(ORÇAMENTO!AJ$15,$L18,0),15-13*ORÇAMENTO!$AF$7),IF(IFERROR(CÁLCULO.FrentesPreenchidas,0)=0,0,SUM(ROUND(OFFSET($P18,0,1,1,CÁLCULO.FrentesPreenchidas),15-13*ORÇAMENTO!$AF$7)))))</f>
        <v>10</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◄M</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Local</v>
      </c>
      <c r="O18" s="168"/>
      <c r="Q18" s="168">
        <v>5</v>
      </c>
      <c r="R18" s="169">
        <v>5</v>
      </c>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832.45</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832.45</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6" t="str">
        <f ca="1">OFFSET(ORÇAMENTO!N$15,$L19,0)</f>
        <v>Nível 2</v>
      </c>
      <c r="E19" s="117" t="str">
        <f ca="1">OFFSET(ORÇAMENTO!O$15,$L19,0)</f>
        <v>1.2.</v>
      </c>
      <c r="F19" s="163" t="str">
        <f ca="1">OFFSET(ORÇAMENTO!R$15,$L19,0)</f>
        <v xml:space="preserve">Pavimentação </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25.5" x14ac:dyDescent="0.2">
      <c r="A20" s="7" t="str">
        <f t="shared" ca="1" si="8"/>
        <v>4</v>
      </c>
      <c r="B20" s="7" t="str">
        <f ca="1">OFFSET(ORÇAMENTO!C$15,$L20,0)</f>
        <v>S</v>
      </c>
      <c r="C20" s="7" t="str">
        <f ca="1">OFFSET(ORÇAMENTO!L$15,$L20,0)</f>
        <v>F</v>
      </c>
      <c r="D20" s="116" t="str">
        <f ca="1">OFFSET(ORÇAMENTO!N$15,$L20,0)</f>
        <v>Serviço</v>
      </c>
      <c r="E20" s="117" t="str">
        <f ca="1">OFFSET(ORÇAMENTO!O$15,$L20,0)</f>
        <v>1.2.1.</v>
      </c>
      <c r="F20" s="163" t="str">
        <f ca="1">OFFSET(ORÇAMENTO!R$15,$L20,0)</f>
        <v>EXECUÇÃO DE PAVIMENTO EM PARALELEPÍPEDOS, REJUNTAMENTO COM PÓ DE PEDRA. AF_05/2020</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770</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◄M</v>
      </c>
      <c r="K20" s="652"/>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 xml:space="preserve">Pavimentação </v>
      </c>
      <c r="O20" s="168"/>
      <c r="Q20" s="168">
        <v>385</v>
      </c>
      <c r="R20" s="169">
        <v>385</v>
      </c>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57268.75</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57268.75</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51" x14ac:dyDescent="0.2">
      <c r="A21" s="7" t="str">
        <f t="shared" ca="1" si="8"/>
        <v>4</v>
      </c>
      <c r="B21" s="7" t="str">
        <f ca="1">OFFSET(ORÇAMENTO!C$15,$L21,0)</f>
        <v>S</v>
      </c>
      <c r="C21" s="7" t="str">
        <f ca="1">OFFSET(ORÇAMENTO!L$15,$L21,0)</f>
        <v>F</v>
      </c>
      <c r="D21" s="116" t="str">
        <f ca="1">OFFSET(ORÇAMENTO!N$15,$L21,0)</f>
        <v>Serviço</v>
      </c>
      <c r="E21" s="117" t="str">
        <f ca="1">OFFSET(ORÇAMENTO!O$15,$L21,0)</f>
        <v>1.2.2.</v>
      </c>
      <c r="F21" s="163" t="str">
        <f ca="1">OFFSET(ORÇAMENTO!R$15,$L21,0)</f>
        <v>ASSENTAMENTO DE GUIA (MEIO-FIO) EM TRECHO CURVO, CONFECCIONADA EM CONCRETO PRÉ-FABRICADO, DIMENSÕES 100X15X13X30 CM (COMPRIMENTO X BASE INFERIOR X BASE SUPERIOR X ALTURA). AF_01/2024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234</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◄M</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 xml:space="preserve">Pavimentação </v>
      </c>
      <c r="O21" s="168"/>
      <c r="Q21" s="168">
        <v>117</v>
      </c>
      <c r="R21" s="169">
        <v>117</v>
      </c>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7819.11</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7819.11</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5.0999999999999996" customHeight="1" x14ac:dyDescent="0.2">
      <c r="B22" s="7">
        <f ca="1">OFFSET(ORÇAMENTO!C$15,ROW(B22)-ROW(B$15),0)</f>
        <v>-1</v>
      </c>
      <c r="C22" s="7" t="str">
        <f ca="1">OFFSET(ORÇAMENTO!L$15,ROW(C22)-ROW(C$15),0)</f>
        <v>F</v>
      </c>
      <c r="D22" s="634" t="s">
        <v>700</v>
      </c>
      <c r="E22" s="618"/>
      <c r="F22" s="619"/>
      <c r="G22" s="619"/>
      <c r="H22" s="619"/>
      <c r="I22" s="419"/>
      <c r="K22" s="569"/>
      <c r="L22" s="165">
        <f t="shared" ref="L22" ca="1" si="10">OFFSET(L22,-1,0)+1</f>
        <v>7</v>
      </c>
      <c r="M22" s="421"/>
      <c r="N22" s="420"/>
      <c r="O22" s="635"/>
      <c r="Q22" s="618"/>
      <c r="R22" s="619"/>
      <c r="S22" s="619"/>
      <c r="T22" s="619"/>
      <c r="U22" s="619"/>
      <c r="V22" s="619"/>
      <c r="W22" s="619"/>
      <c r="X22" s="619"/>
      <c r="Y22" s="619"/>
      <c r="Z22" s="419"/>
      <c r="AB22" s="636"/>
      <c r="AC22" s="637"/>
      <c r="AD22" s="637"/>
      <c r="AE22" s="637"/>
      <c r="AF22" s="637"/>
      <c r="AG22" s="637"/>
      <c r="AH22" s="637"/>
      <c r="AI22" s="637"/>
      <c r="AJ22" s="637"/>
      <c r="AK22" s="133"/>
      <c r="AM22" s="636"/>
      <c r="AN22" s="637"/>
      <c r="AO22" s="637"/>
      <c r="AP22" s="637"/>
      <c r="AQ22" s="637"/>
      <c r="AR22" s="637"/>
      <c r="AS22" s="637"/>
      <c r="AT22" s="637"/>
      <c r="AU22" s="637"/>
      <c r="AV22" s="133"/>
      <c r="AX22" s="636"/>
      <c r="AY22" s="637"/>
      <c r="AZ22" s="637"/>
      <c r="BA22" s="637"/>
      <c r="BB22" s="637"/>
      <c r="BC22" s="637"/>
      <c r="BD22" s="637"/>
      <c r="BE22" s="637"/>
      <c r="BF22" s="637"/>
      <c r="BG22" s="133"/>
    </row>
    <row r="23" spans="1:59" ht="12.75" customHeight="1" x14ac:dyDescent="0.2"/>
    <row r="24" spans="1:59" ht="12.75" customHeight="1" x14ac:dyDescent="0.2"/>
    <row r="25" spans="1:59" ht="12.75" customHeight="1" x14ac:dyDescent="0.2"/>
    <row r="26" spans="1:59" ht="15" customHeight="1" x14ac:dyDescent="0.2">
      <c r="F26" s="179" t="str">
        <f>Import.Município</f>
        <v>Ivorá/RS</v>
      </c>
      <c r="I26" s="460"/>
      <c r="J26" s="460"/>
      <c r="K26" s="460"/>
      <c r="L26" s="460"/>
      <c r="M26" s="461"/>
      <c r="N26" s="417"/>
      <c r="T26" s="139"/>
      <c r="U26" s="139"/>
      <c r="V26" s="180"/>
      <c r="W26" s="180"/>
      <c r="X26" s="180"/>
      <c r="Y26" s="180"/>
    </row>
    <row r="27" spans="1:59" ht="12.75" customHeight="1" x14ac:dyDescent="0.2">
      <c r="F27" s="9" t="s">
        <v>693</v>
      </c>
      <c r="I27" s="181" t="s">
        <v>696</v>
      </c>
      <c r="J27" s="181"/>
      <c r="K27" s="181"/>
      <c r="L27" s="181"/>
      <c r="T27" s="181" t="s">
        <v>696</v>
      </c>
      <c r="U27" s="181"/>
    </row>
    <row r="28" spans="1:59" ht="12.75" customHeight="1" x14ac:dyDescent="0.2">
      <c r="I28" s="398" t="str">
        <f t="array" aca="1" ref="I28:I30" ca="1">OFFSET(Import.RespOrçamento,0,-1) &amp; " " &amp; Import.RespOrçamento</f>
        <v>Nome: Vitor Camargo Costa</v>
      </c>
      <c r="K28" s="79"/>
      <c r="L28" s="79"/>
      <c r="T28" s="398" t="str">
        <f t="array" aca="1" ref="T28:T30" ca="1">OFFSET(Import.RespOrçamento,0,-1) &amp; " " &amp; Import.RespOrçamento</f>
        <v>Nome: Vitor Camargo Costa</v>
      </c>
      <c r="U28" s="78"/>
    </row>
    <row r="29" spans="1:59" ht="12.75" customHeight="1" x14ac:dyDescent="0.2">
      <c r="F29" s="459">
        <f>DADOS!$C$25</f>
        <v>45957</v>
      </c>
      <c r="I29" s="398" t="str">
        <f ca="1"/>
        <v>CREA/CAU: RS203284</v>
      </c>
      <c r="K29" s="79"/>
      <c r="L29" s="79"/>
      <c r="T29" s="398" t="str">
        <f ca="1"/>
        <v>CREA/CAU: RS203284</v>
      </c>
      <c r="U29" s="78"/>
    </row>
    <row r="30" spans="1:59" ht="12.75" customHeight="1" x14ac:dyDescent="0.2">
      <c r="F30" s="140" t="s">
        <v>694</v>
      </c>
      <c r="I30" s="398" t="str">
        <f ca="1"/>
        <v xml:space="preserve">ART/RRT: </v>
      </c>
      <c r="K30" s="79"/>
      <c r="L30" s="79"/>
      <c r="T30" s="398" t="str">
        <f ca="1"/>
        <v xml:space="preserve">ART/RRT: </v>
      </c>
      <c r="U30" s="78"/>
    </row>
    <row r="31" spans="1:59" ht="12.75" customHeight="1" x14ac:dyDescent="0.2">
      <c r="C31"/>
      <c r="M31"/>
    </row>
    <row r="32" spans="1:59" ht="12.75" customHeight="1" x14ac:dyDescent="0.2">
      <c r="C32"/>
      <c r="M32"/>
    </row>
    <row r="33" spans="3:13" ht="12.75" customHeight="1" x14ac:dyDescent="0.2">
      <c r="C33"/>
      <c r="M33"/>
    </row>
    <row r="34" spans="3:13" ht="12.75" customHeight="1" x14ac:dyDescent="0.2">
      <c r="C34"/>
      <c r="M34"/>
    </row>
    <row r="35" spans="3:13" ht="12.75" customHeight="1" x14ac:dyDescent="0.2">
      <c r="C35"/>
      <c r="M35"/>
    </row>
    <row r="36" spans="3:13" ht="12.75" customHeight="1" x14ac:dyDescent="0.2">
      <c r="C36"/>
      <c r="M36"/>
    </row>
    <row r="37" spans="3:13" ht="12.75" customHeight="1" x14ac:dyDescent="0.2">
      <c r="C37"/>
      <c r="M37"/>
    </row>
    <row r="38" spans="3:13" ht="12.75" customHeight="1" x14ac:dyDescent="0.2">
      <c r="C38"/>
      <c r="M38"/>
    </row>
    <row r="39" spans="3:13" ht="12.75" customHeight="1" x14ac:dyDescent="0.2">
      <c r="C39"/>
      <c r="M39"/>
    </row>
    <row r="40" spans="3:13" ht="12.75" customHeight="1" x14ac:dyDescent="0.2">
      <c r="C40"/>
      <c r="M40"/>
    </row>
    <row r="41" spans="3:13" ht="12.75" customHeight="1" x14ac:dyDescent="0.2">
      <c r="C41"/>
      <c r="M41"/>
    </row>
    <row r="42" spans="3:13" ht="12.75" customHeight="1" x14ac:dyDescent="0.2">
      <c r="C42"/>
      <c r="M42"/>
    </row>
    <row r="43" spans="3:13" ht="12.75" customHeight="1" x14ac:dyDescent="0.2">
      <c r="C43"/>
      <c r="M43"/>
    </row>
    <row r="44" spans="3:13" ht="12.75" customHeight="1" x14ac:dyDescent="0.2">
      <c r="C44"/>
      <c r="M44"/>
    </row>
    <row r="45" spans="3:13" ht="12.75" customHeight="1" x14ac:dyDescent="0.2">
      <c r="C45"/>
      <c r="M45"/>
    </row>
    <row r="46" spans="3:13" ht="12.75" customHeight="1" x14ac:dyDescent="0.2">
      <c r="C46"/>
      <c r="M46"/>
    </row>
    <row r="47" spans="3:13" ht="12.75" customHeight="1" x14ac:dyDescent="0.2">
      <c r="C47"/>
      <c r="M47"/>
    </row>
    <row r="48" spans="3:13"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60934" spans="3:13" ht="12.75" customHeight="1" x14ac:dyDescent="0.2">
      <c r="C60934"/>
      <c r="M60934"/>
    </row>
    <row r="60950" spans="3:13" ht="12.75" customHeight="1" x14ac:dyDescent="0.2">
      <c r="C60950"/>
      <c r="M60950"/>
    </row>
    <row r="60966" spans="3:13" ht="12.75" customHeight="1" x14ac:dyDescent="0.2">
      <c r="C60966"/>
      <c r="M60966"/>
    </row>
    <row r="60982" spans="3:13" ht="12.75" customHeight="1" x14ac:dyDescent="0.2">
      <c r="C60982"/>
      <c r="M60982"/>
    </row>
    <row r="60995" spans="3:13" ht="12.75" customHeight="1" x14ac:dyDescent="0.2">
      <c r="C60995"/>
      <c r="M60995"/>
    </row>
    <row r="60996" spans="3:13" ht="12.75" customHeight="1" x14ac:dyDescent="0.2">
      <c r="C60996"/>
      <c r="M60996"/>
    </row>
    <row r="60998" spans="3:13" ht="12.75" customHeight="1" x14ac:dyDescent="0.2">
      <c r="C60998"/>
      <c r="M60998"/>
    </row>
    <row r="61009" spans="3:13" ht="12.75" customHeight="1" x14ac:dyDescent="0.2">
      <c r="C61009"/>
      <c r="M61009"/>
    </row>
    <row r="61010" spans="3:13" ht="12.75" customHeight="1" x14ac:dyDescent="0.2">
      <c r="C61010"/>
      <c r="M61010"/>
    </row>
    <row r="61011" spans="3:13" ht="12.75" customHeight="1" x14ac:dyDescent="0.2">
      <c r="C61011"/>
      <c r="M61011"/>
    </row>
    <row r="61012" spans="3:13" ht="12.75" customHeight="1" x14ac:dyDescent="0.2">
      <c r="C61012"/>
      <c r="M61012"/>
    </row>
    <row r="61014" spans="3:13" ht="12.75" customHeight="1" x14ac:dyDescent="0.2">
      <c r="C61014"/>
      <c r="M61014"/>
    </row>
    <row r="61025" spans="3:13" ht="12.75" customHeight="1" x14ac:dyDescent="0.2">
      <c r="C61025"/>
      <c r="M61025"/>
    </row>
    <row r="61026" spans="3:13" ht="12.75" customHeight="1" x14ac:dyDescent="0.2">
      <c r="C61026"/>
      <c r="M61026"/>
    </row>
    <row r="61027" spans="3:13" ht="12.75" customHeight="1" x14ac:dyDescent="0.2">
      <c r="C61027"/>
      <c r="M61027"/>
    </row>
    <row r="61028" spans="3:13" ht="12.75" customHeight="1" x14ac:dyDescent="0.2">
      <c r="C61028"/>
      <c r="M61028"/>
    </row>
    <row r="61030" spans="3:13" ht="12.75" customHeight="1" x14ac:dyDescent="0.2">
      <c r="C61030"/>
      <c r="M61030"/>
    </row>
    <row r="61041" spans="3:13" ht="12.75" customHeight="1" x14ac:dyDescent="0.2">
      <c r="C61041"/>
      <c r="M61041"/>
    </row>
    <row r="61042" spans="3:13" ht="12.75" customHeight="1" x14ac:dyDescent="0.2">
      <c r="C61042"/>
      <c r="M61042"/>
    </row>
    <row r="61043" spans="3:13" ht="12.75" customHeight="1" x14ac:dyDescent="0.2">
      <c r="C61043"/>
      <c r="M61043"/>
    </row>
    <row r="61044" spans="3:13" ht="12.75" customHeight="1" x14ac:dyDescent="0.2">
      <c r="C61044"/>
      <c r="M61044"/>
    </row>
    <row r="61046" spans="3:13" ht="12.75" customHeight="1" x14ac:dyDescent="0.2">
      <c r="C61046"/>
      <c r="M61046"/>
    </row>
    <row r="61057" spans="3:13" ht="12.75" customHeight="1" x14ac:dyDescent="0.2">
      <c r="C61057"/>
      <c r="M61057"/>
    </row>
    <row r="61058" spans="3:13" ht="12.75" customHeight="1" x14ac:dyDescent="0.2">
      <c r="C61058"/>
      <c r="M61058"/>
    </row>
    <row r="61059" spans="3:13" ht="12.75" customHeight="1" x14ac:dyDescent="0.2">
      <c r="C61059"/>
      <c r="M61059"/>
    </row>
    <row r="61060" spans="3:13" ht="12.75" customHeight="1" x14ac:dyDescent="0.2">
      <c r="C61060"/>
      <c r="M61060"/>
    </row>
    <row r="61062" spans="3:13" ht="12.75" customHeight="1" x14ac:dyDescent="0.2">
      <c r="C61062"/>
      <c r="M61062"/>
    </row>
    <row r="61073" spans="3:13" ht="12.75" customHeight="1" x14ac:dyDescent="0.2">
      <c r="C61073"/>
      <c r="M61073"/>
    </row>
    <row r="61074" spans="3:13" ht="12.75" customHeight="1" x14ac:dyDescent="0.2">
      <c r="C61074"/>
      <c r="M61074"/>
    </row>
    <row r="61075" spans="3:13" ht="12.75" customHeight="1" x14ac:dyDescent="0.2">
      <c r="C61075"/>
      <c r="M61075"/>
    </row>
    <row r="61076" spans="3:13" ht="12.75" customHeight="1" x14ac:dyDescent="0.2">
      <c r="C61076"/>
      <c r="M61076"/>
    </row>
    <row r="61078" spans="3:13" ht="12.75" customHeight="1" x14ac:dyDescent="0.2">
      <c r="C61078"/>
      <c r="M61078"/>
    </row>
    <row r="61089" spans="3:13" ht="12.75" customHeight="1" x14ac:dyDescent="0.2">
      <c r="C61089"/>
      <c r="M61089"/>
    </row>
    <row r="61090" spans="3:13" ht="12.75" customHeight="1" x14ac:dyDescent="0.2">
      <c r="C61090"/>
      <c r="M61090"/>
    </row>
    <row r="61091" spans="3:13" ht="12.75" customHeight="1" x14ac:dyDescent="0.2">
      <c r="C61091"/>
      <c r="M61091"/>
    </row>
    <row r="61092" spans="3:13" ht="12.75" customHeight="1" x14ac:dyDescent="0.2">
      <c r="C61092"/>
      <c r="M61092"/>
    </row>
    <row r="61094" spans="3:13" ht="12.75" customHeight="1" x14ac:dyDescent="0.2">
      <c r="C61094"/>
      <c r="M61094"/>
    </row>
    <row r="61105" spans="3:13" ht="12.75" customHeight="1" x14ac:dyDescent="0.2">
      <c r="C61105"/>
      <c r="M61105"/>
    </row>
    <row r="61106" spans="3:13" ht="12.75" customHeight="1" x14ac:dyDescent="0.2">
      <c r="C61106"/>
      <c r="M61106"/>
    </row>
    <row r="61107" spans="3:13" ht="12.75" customHeight="1" x14ac:dyDescent="0.2">
      <c r="C61107"/>
      <c r="M61107"/>
    </row>
    <row r="61108" spans="3:13" ht="12.75" customHeight="1" x14ac:dyDescent="0.2">
      <c r="C61108"/>
      <c r="M61108"/>
    </row>
    <row r="61110" spans="3:13" ht="12.75" customHeight="1" x14ac:dyDescent="0.2">
      <c r="C61110"/>
      <c r="M61110"/>
    </row>
    <row r="61121" spans="3:13" ht="12.75" customHeight="1" x14ac:dyDescent="0.2">
      <c r="C61121"/>
      <c r="M61121"/>
    </row>
    <row r="61122" spans="3:13" ht="12.75" customHeight="1" x14ac:dyDescent="0.2">
      <c r="C61122"/>
      <c r="M61122"/>
    </row>
    <row r="61123" spans="3:13" ht="12.75" customHeight="1" x14ac:dyDescent="0.2">
      <c r="C61123"/>
      <c r="M61123"/>
    </row>
    <row r="61124" spans="3:13" ht="12.75" customHeight="1" x14ac:dyDescent="0.2">
      <c r="C61124"/>
      <c r="M61124"/>
    </row>
    <row r="61126" spans="3:13" ht="12.75" customHeight="1" x14ac:dyDescent="0.2">
      <c r="C61126"/>
      <c r="M61126"/>
    </row>
    <row r="61134" spans="3:13" ht="12.75" customHeight="1" x14ac:dyDescent="0.2">
      <c r="C61134"/>
      <c r="M61134"/>
    </row>
    <row r="61137" spans="3:13" ht="12.75" customHeight="1" x14ac:dyDescent="0.2">
      <c r="C61137"/>
      <c r="M61137"/>
    </row>
    <row r="61138" spans="3:13" ht="12.75" customHeight="1" x14ac:dyDescent="0.2">
      <c r="C61138"/>
      <c r="M61138"/>
    </row>
    <row r="61139" spans="3:13" ht="12.75" customHeight="1" x14ac:dyDescent="0.2">
      <c r="C61139"/>
      <c r="M61139"/>
    </row>
    <row r="61140" spans="3:13" ht="12.75" customHeight="1" x14ac:dyDescent="0.2">
      <c r="C61140"/>
      <c r="M61140"/>
    </row>
    <row r="61142" spans="3:13" ht="12.75" customHeight="1" x14ac:dyDescent="0.2">
      <c r="C61142"/>
      <c r="M61142"/>
    </row>
    <row r="61150" spans="3:13" ht="12.75" customHeight="1" x14ac:dyDescent="0.2">
      <c r="C61150"/>
      <c r="M61150"/>
    </row>
    <row r="61153" spans="3:13" ht="12.75" customHeight="1" x14ac:dyDescent="0.2">
      <c r="C61153"/>
      <c r="M61153"/>
    </row>
    <row r="61154" spans="3:13" ht="12.75" customHeight="1" x14ac:dyDescent="0.2">
      <c r="C61154"/>
      <c r="M61154"/>
    </row>
    <row r="61155" spans="3:13" ht="12.75" customHeight="1" x14ac:dyDescent="0.2">
      <c r="C61155"/>
      <c r="M61155"/>
    </row>
    <row r="61156" spans="3:13" ht="12.75" customHeight="1" x14ac:dyDescent="0.2">
      <c r="C61156"/>
      <c r="M61156"/>
    </row>
    <row r="61158" spans="3:13" ht="12.75" customHeight="1" x14ac:dyDescent="0.2">
      <c r="C61158"/>
      <c r="M61158"/>
    </row>
    <row r="61166" spans="3:13" ht="12.75" customHeight="1" x14ac:dyDescent="0.2">
      <c r="C61166"/>
      <c r="M61166"/>
    </row>
    <row r="61167" spans="3:13" ht="12.75" customHeight="1" x14ac:dyDescent="0.2">
      <c r="C61167"/>
      <c r="M61167"/>
    </row>
    <row r="61169" spans="3:13" ht="12.75" customHeight="1" x14ac:dyDescent="0.2">
      <c r="C61169"/>
      <c r="M61169"/>
    </row>
    <row r="61170" spans="3:13" ht="12.75" customHeight="1" x14ac:dyDescent="0.2">
      <c r="C61170"/>
      <c r="M61170"/>
    </row>
    <row r="61171" spans="3:13" ht="12.75" customHeight="1" x14ac:dyDescent="0.2">
      <c r="C61171"/>
      <c r="M61171"/>
    </row>
    <row r="61172" spans="3:13" ht="12.75" customHeight="1" x14ac:dyDescent="0.2">
      <c r="C61172"/>
      <c r="M61172"/>
    </row>
    <row r="61174" spans="3:13" ht="12.75" customHeight="1" x14ac:dyDescent="0.2">
      <c r="C61174"/>
      <c r="M61174"/>
    </row>
    <row r="61182" spans="3:13" ht="12.75" customHeight="1" x14ac:dyDescent="0.2">
      <c r="C61182"/>
      <c r="M61182"/>
    </row>
    <row r="61183" spans="3:13" ht="12.75" customHeight="1" x14ac:dyDescent="0.2">
      <c r="C61183"/>
      <c r="M61183"/>
    </row>
    <row r="61184" spans="3:13" ht="12.75" customHeight="1" x14ac:dyDescent="0.2">
      <c r="C61184"/>
      <c r="M61184"/>
    </row>
    <row r="61185" spans="3:13" ht="12.75" customHeight="1" x14ac:dyDescent="0.2">
      <c r="C61185"/>
      <c r="M61185"/>
    </row>
    <row r="61186" spans="3:13" ht="12.75" customHeight="1" x14ac:dyDescent="0.2">
      <c r="C61186"/>
      <c r="M61186"/>
    </row>
    <row r="61187" spans="3:13" ht="12.75" customHeight="1" x14ac:dyDescent="0.2">
      <c r="C61187"/>
      <c r="M61187"/>
    </row>
    <row r="61188" spans="3:13" ht="12.75" customHeight="1" x14ac:dyDescent="0.2">
      <c r="C61188"/>
      <c r="M61188"/>
    </row>
    <row r="61190" spans="3:13" ht="12.75" customHeight="1" x14ac:dyDescent="0.2">
      <c r="C61190"/>
      <c r="M61190"/>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2" spans="3:13" ht="12.75" customHeight="1" x14ac:dyDescent="0.2">
      <c r="C61202"/>
      <c r="M61202"/>
    </row>
    <row r="61203" spans="3:13" ht="12.75" customHeight="1" x14ac:dyDescent="0.2">
      <c r="C61203"/>
      <c r="M61203"/>
    </row>
    <row r="61204" spans="3:13" ht="12.75" customHeight="1" x14ac:dyDescent="0.2">
      <c r="C61204"/>
      <c r="M61204"/>
    </row>
    <row r="61206" spans="3:13" ht="12.75" customHeight="1" x14ac:dyDescent="0.2">
      <c r="C61206"/>
      <c r="M61206"/>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sheetData>
  <sheetProtection algorithmName="SHA-512" hashValue="OLuW5y27NsXzdyf4jtUAnvjoLu+OES47Nmek286zFvGU0CPghPQkDUsyeK6ek4MR4Co33MClK1vlR2ID0Q3STw==" saltValue="LQWFxHAYsiOKW7etcF22gg==" spinCount="100000" sheet="1" objects="1" scenarios="1" autoFilter="0"/>
  <autoFilter ref="C15:C22"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21">
    <cfRule type="expression" dxfId="356" priority="14633" stopIfTrue="1">
      <formula>$B14=1</formula>
    </cfRule>
    <cfRule type="expression" dxfId="355" priority="14634" stopIfTrue="1">
      <formula>OR($B14=0,$B14=2,$B14=3,$B14=4)</formula>
    </cfRule>
  </conditionalFormatting>
  <conditionalFormatting sqref="M12:N22">
    <cfRule type="expression" dxfId="354" priority="14635" stopIfTrue="1">
      <formula>ACOMPANHAMENTO="BM"</formula>
    </cfRule>
    <cfRule type="expression" dxfId="353" priority="14636" stopIfTrue="1">
      <formula>OR($B12=0,$B12=2,$B12=3,$B12=4)</formula>
    </cfRule>
    <cfRule type="expression" dxfId="352" priority="14637" stopIfTrue="1">
      <formula>$B12=1</formula>
    </cfRule>
  </conditionalFormatting>
  <conditionalFormatting sqref="K12:K22">
    <cfRule type="expression" dxfId="351" priority="14638" stopIfTrue="1">
      <formula>OR(ACOMPANHAMENTO="BM",$A$12&lt;&gt;"Manual")</formula>
    </cfRule>
    <cfRule type="expression" dxfId="350" priority="14639" stopIfTrue="1">
      <formula>$B12=1</formula>
    </cfRule>
    <cfRule type="expression" dxfId="349" priority="14640" stopIfTrue="1">
      <formula>OR($B12=2,$B12=3,$B12=4,$B12=0)</formula>
    </cfRule>
  </conditionalFormatting>
  <conditionalFormatting sqref="O12:AA22">
    <cfRule type="expression" dxfId="348" priority="8224" stopIfTrue="1">
      <formula>ACOMPANHAMENTO="BM"</formula>
    </cfRule>
    <cfRule type="expression" dxfId="347" priority="14642" stopIfTrue="1">
      <formula>AND(O$12&lt;&gt;".",OR($B12=0,$B12=2,$B12=3,$B12=4,AND(O$12="",$B12&lt;&gt;"Empty"),OFFSET(O$1,0,-1)=0))</formula>
    </cfRule>
    <cfRule type="expression" dxfId="346" priority="14643" stopIfTrue="1">
      <formula>AND($B12=1,O$1=1)</formula>
    </cfRule>
  </conditionalFormatting>
  <conditionalFormatting sqref="Q15:Z15">
    <cfRule type="expression" dxfId="345" priority="14641">
      <formula>Q$11="▼"</formula>
    </cfRule>
  </conditionalFormatting>
  <conditionalFormatting sqref="O15">
    <cfRule type="expression" dxfId="344" priority="8223">
      <formula>O$11="▼"</formula>
    </cfRule>
  </conditionalFormatting>
  <conditionalFormatting sqref="N14 N16:N21">
    <cfRule type="expression" dxfId="343" priority="5258">
      <formula>$J14="►"</formula>
    </cfRule>
  </conditionalFormatting>
  <conditionalFormatting sqref="N12">
    <cfRule type="cellIs" dxfId="342" priority="5256" operator="notEqual">
      <formula>"FRENTES DE OBRA:"</formula>
    </cfRule>
  </conditionalFormatting>
  <conditionalFormatting sqref="Q14:AA14 Q16:AA21">
    <cfRule type="expression" dxfId="341" priority="3041">
      <formula>Q14&lt;&gt;ROUND(Q14,2)</formula>
    </cfRule>
  </conditionalFormatting>
  <conditionalFormatting sqref="H14">
    <cfRule type="expression" dxfId="340" priority="2601" stopIfTrue="1">
      <formula>$B14=1</formula>
    </cfRule>
    <cfRule type="expression" dxfId="339" priority="2602" stopIfTrue="1">
      <formula>OR($B14=0,$B14=2,$B14=3,$B14=4)</formula>
    </cfRule>
  </conditionalFormatting>
  <conditionalFormatting sqref="H14 H16:H21">
    <cfRule type="expression" dxfId="338" priority="2600">
      <formula>$J14="►S"</formula>
    </cfRule>
  </conditionalFormatting>
  <dataValidations count="4">
    <dataValidation type="decimal" operator="greaterThan" allowBlank="1" showErrorMessage="1" error="Apenas números decimais maiores que zero." sqref="O14 Q14:Z14 Q16:Z21 O16:O21"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1"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1"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I24" sqref="I24"/>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IF(AUTOEVENTO="Manual",IF(EVENTOS!$F1&gt;0,"F",""),IF(AND(B1&gt;0,B1&lt;=MAX(CÁLCULO!$M$15:$M$22)),"F",""))</f>
        <v>#REF!</v>
      </c>
      <c r="B1" s="247" t="e">
        <f ca="1">OFFSET(B1,-1,0)+1</f>
        <v>#REF!</v>
      </c>
      <c r="C1" s="514" t="e">
        <f ca="1">IF(AUTOEVENTO="Manual",IF($B1&gt;0,OFFSET(EVENTOS!$D$15,$B1-$B$15,0),0),IF(B1&lt;=MAX(CÁLCULO!$M$15:$M$22),VLOOKUP($B1,CÁLCULO!$M$15:$N$22,2,FALSE),0))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f>Import.Proponente</f>
        <v>0</v>
      </c>
      <c r="C5" s="680"/>
      <c r="D5" s="680"/>
      <c r="G5" s="719">
        <f>Import.CR</f>
        <v>0</v>
      </c>
      <c r="H5" s="719"/>
      <c r="I5" s="719"/>
      <c r="J5" s="719">
        <f>Import.SICONV</f>
        <v>0</v>
      </c>
      <c r="K5" s="719"/>
      <c r="L5" s="719"/>
      <c r="M5" s="732" t="str">
        <f>Import.Apelido</f>
        <v>Pavimentação Eliseu Didonet</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IF(MAX($B$14:$B$65)&lt;MAX(CÁLCULO!$M$15:$M$22),"ERRO: NÚMERO DE EVENTOS INSUFICIENTE, CLIQUE EM ATUALIZAR LINHAS",
  IF(ROUND(OFFSET(CRONO!$AG$174,0,-1),2)&lt;&gt;CRONO!$R$165,"ERRO: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8"/>
      <c r="C8" s="72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MATCH(VALUE(A8),CÁLCULO!$M$15:$M$22,0)-2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IF(AUTOEVENTO="Manual",IF(EVENTOS!$F15&gt;0,"F",""),IF(AND(B15&gt;0,B15&lt;=MAX(CÁLCULO!$M$15:$M$22)),"F",""))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IF(AUTOEVENTO="Manual",IF(EVENTOS!$F16&gt;0,"F",""),IF(AND(B16&gt;0,B16&lt;=MAX(CÁLCULO!$M$15:$M$22)),"F",""))</f>
        <v>F</v>
      </c>
      <c r="B16" s="247">
        <f t="shared" ref="B16:B64" ca="1" si="1">OFFSET(B16,-1,0)+1</f>
        <v>1</v>
      </c>
      <c r="C16" s="514" t="str">
        <f ca="1">IF(AUTOEVENTO="Manual",IF($B16&gt;0,OFFSET(EVENTOS!$D$15,$B16-$B$15,0),0),IF(B16&lt;=MAX(CÁLCULO!$M$15:$M$22),VLOOKUP($B16,CÁLCULO!$M$15:$N$22,2,FALSE),0))</f>
        <v>Administração Local</v>
      </c>
      <c r="D16" s="554"/>
      <c r="E16" s="248"/>
      <c r="F16" t="str">
        <f t="shared" ref="F16:F64" ca="1" si="2">IF($C16=0,"",CONCATENATE($B16,". ",$C16))</f>
        <v>1. Administração Local</v>
      </c>
      <c r="G16" s="553">
        <v>1</v>
      </c>
      <c r="H16" s="553">
        <v>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IF(AUTOEVENTO="Manual",IF(EVENTOS!$F17&gt;0,"F",""),IF(AND(B17&gt;0,B17&lt;=MAX(CÁLCULO!$M$15:$M$22)),"F",""))</f>
        <v>F</v>
      </c>
      <c r="B17" s="247">
        <f t="shared" ca="1" si="1"/>
        <v>2</v>
      </c>
      <c r="C17" s="514" t="str">
        <f ca="1">IF(AUTOEVENTO="Manual",IF($B17&gt;0,OFFSET(EVENTOS!$D$15,$B17-$B$15,0),0),IF(B17&lt;=MAX(CÁLCULO!$M$15:$M$22),VLOOKUP($B17,CÁLCULO!$M$15:$N$22,2,FALSE),0))</f>
        <v xml:space="preserve">Pavimentação </v>
      </c>
      <c r="D17" s="554"/>
      <c r="E17" s="248"/>
      <c r="F17" t="str">
        <f t="shared" ca="1" si="2"/>
        <v xml:space="preserve">2. Pavimentação </v>
      </c>
      <c r="G17" s="553">
        <v>1</v>
      </c>
      <c r="H17" s="553">
        <v>2</v>
      </c>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IF(AUTOEVENTO="Manual",IF(EVENTOS!$F18&gt;0,"F",""),IF(AND(B18&gt;0,B18&lt;=MAX(CÁLCULO!$M$15:$M$22)),"F",""))</f>
        <v/>
      </c>
      <c r="B18" s="247">
        <f t="shared" ca="1" si="1"/>
        <v>3</v>
      </c>
      <c r="C18" s="514">
        <f ca="1">IF(AUTOEVENTO="Manual",IF($B18&gt;0,OFFSET(EVENTOS!$D$15,$B18-$B$15,0),0),IF(B18&lt;=MAX(CÁLCULO!$M$15:$M$22),VLOOKUP($B18,CÁLCULO!$M$15:$N$22,2,FALSE),0))</f>
        <v>0</v>
      </c>
      <c r="D18" s="554"/>
      <c r="E18" s="248"/>
      <c r="F18" t="str">
        <f t="shared" ca="1" si="2"/>
        <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IF(AUTOEVENTO="Manual",IF(EVENTOS!$F19&gt;0,"F",""),IF(AND(B19&gt;0,B19&lt;=MAX(CÁLCULO!$M$15:$M$22)),"F",""))</f>
        <v/>
      </c>
      <c r="B19" s="247">
        <f t="shared" ca="1" si="1"/>
        <v>4</v>
      </c>
      <c r="C19" s="514">
        <f ca="1">IF(AUTOEVENTO="Manual",IF($B19&gt;0,OFFSET(EVENTOS!$D$15,$B19-$B$15,0),0),IF(B19&lt;=MAX(CÁLCULO!$M$15:$M$22),VLOOKUP($B19,CÁLCULO!$M$15:$N$22,2,FALSE),0))</f>
        <v>0</v>
      </c>
      <c r="D19" s="554"/>
      <c r="E19" s="248"/>
      <c r="F19" t="str">
        <f t="shared" ca="1" si="2"/>
        <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IF(AUTOEVENTO="Manual",IF(EVENTOS!$F20&gt;0,"F",""),IF(AND(B20&gt;0,B20&lt;=MAX(CÁLCULO!$M$15:$M$22)),"F",""))</f>
        <v/>
      </c>
      <c r="B20" s="247">
        <f t="shared" ca="1" si="1"/>
        <v>5</v>
      </c>
      <c r="C20" s="514">
        <f ca="1">IF(AUTOEVENTO="Manual",IF($B20&gt;0,OFFSET(EVENTOS!$D$15,$B20-$B$15,0),0),IF(B20&lt;=MAX(CÁLCULO!$M$15:$M$22),VLOOKUP($B20,CÁLCULO!$M$15:$N$22,2,FALSE),0))</f>
        <v>0</v>
      </c>
      <c r="D20" s="554"/>
      <c r="E20" s="248"/>
      <c r="F20" t="str">
        <f t="shared" ca="1" si="2"/>
        <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IF(AUTOEVENTO="Manual",IF(EVENTOS!$F21&gt;0,"F",""),IF(AND(B21&gt;0,B21&lt;=MAX(CÁLCULO!$M$15:$M$22)),"F",""))</f>
        <v/>
      </c>
      <c r="B21" s="247">
        <f t="shared" ca="1" si="1"/>
        <v>6</v>
      </c>
      <c r="C21" s="514">
        <f ca="1">IF(AUTOEVENTO="Manual",IF($B21&gt;0,OFFSET(EVENTOS!$D$15,$B21-$B$15,0),0),IF(B21&lt;=MAX(CÁLCULO!$M$15:$M$22),VLOOKUP($B21,CÁLCULO!$M$15:$N$22,2,FALSE),0))</f>
        <v>0</v>
      </c>
      <c r="D21" s="554"/>
      <c r="E21" s="248"/>
      <c r="F21"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IF(AUTOEVENTO="Manual",IF(EVENTOS!$F22&gt;0,"F",""),IF(AND(B22&gt;0,B22&lt;=MAX(CÁLCULO!$M$15:$M$22)),"F",""))</f>
        <v/>
      </c>
      <c r="B22" s="247">
        <f t="shared" ca="1" si="1"/>
        <v>7</v>
      </c>
      <c r="C22" s="514">
        <f ca="1">IF(AUTOEVENTO="Manual",IF($B22&gt;0,OFFSET(EVENTOS!$D$15,$B22-$B$15,0),0),IF(B22&lt;=MAX(CÁLCULO!$M$15:$M$22),VLOOKUP($B22,CÁLCULO!$M$15:$N$22,2,FALSE),0))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IF(AUTOEVENTO="Manual",IF(EVENTOS!$F23&gt;0,"F",""),IF(AND(B23&gt;0,B23&lt;=MAX(CÁLCULO!$M$15:$M$22)),"F",""))</f>
        <v/>
      </c>
      <c r="B23" s="247">
        <f t="shared" ca="1" si="1"/>
        <v>8</v>
      </c>
      <c r="C23" s="514">
        <f ca="1">IF(AUTOEVENTO="Manual",IF($B23&gt;0,OFFSET(EVENTOS!$D$15,$B23-$B$15,0),0),IF(B23&lt;=MAX(CÁLCULO!$M$15:$M$22),VLOOKUP($B23,CÁLCULO!$M$15:$N$22,2,FALSE),0))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IF(AUTOEVENTO="Manual",IF(EVENTOS!$F24&gt;0,"F",""),IF(AND(B24&gt;0,B24&lt;=MAX(CÁLCULO!$M$15:$M$22)),"F",""))</f>
        <v/>
      </c>
      <c r="B24" s="247">
        <f t="shared" ca="1" si="1"/>
        <v>9</v>
      </c>
      <c r="C24" s="514">
        <f ca="1">IF(AUTOEVENTO="Manual",IF($B24&gt;0,OFFSET(EVENTOS!$D$15,$B24-$B$15,0),0),IF(B24&lt;=MAX(CÁLCULO!$M$15:$M$22),VLOOKUP($B24,CÁLCULO!$M$15:$N$22,2,FALSE),0))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IF(AUTOEVENTO="Manual",IF(EVENTOS!$F25&gt;0,"F",""),IF(AND(B25&gt;0,B25&lt;=MAX(CÁLCULO!$M$15:$M$22)),"F",""))</f>
        <v/>
      </c>
      <c r="B25" s="247">
        <f t="shared" ca="1" si="1"/>
        <v>10</v>
      </c>
      <c r="C25" s="514">
        <f ca="1">IF(AUTOEVENTO="Manual",IF($B25&gt;0,OFFSET(EVENTOS!$D$15,$B25-$B$15,0),0),IF(B25&lt;=MAX(CÁLCULO!$M$15:$M$22),VLOOKUP($B25,CÁLCULO!$M$15:$N$22,2,FALSE),0))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IF(AUTOEVENTO="Manual",IF(EVENTOS!$F26&gt;0,"F",""),IF(AND(B26&gt;0,B26&lt;=MAX(CÁLCULO!$M$15:$M$22)),"F",""))</f>
        <v/>
      </c>
      <c r="B26" s="247">
        <f t="shared" ca="1" si="1"/>
        <v>11</v>
      </c>
      <c r="C26" s="514">
        <f ca="1">IF(AUTOEVENTO="Manual",IF($B26&gt;0,OFFSET(EVENTOS!$D$15,$B26-$B$15,0),0),IF(B26&lt;=MAX(CÁLCULO!$M$15:$M$22),VLOOKUP($B26,CÁLCULO!$M$15:$N$22,2,FALSE),0))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IF(AUTOEVENTO="Manual",IF(EVENTOS!$F27&gt;0,"F",""),IF(AND(B27&gt;0,B27&lt;=MAX(CÁLCULO!$M$15:$M$22)),"F",""))</f>
        <v/>
      </c>
      <c r="B27" s="247">
        <f t="shared" ca="1" si="1"/>
        <v>12</v>
      </c>
      <c r="C27" s="514">
        <f ca="1">IF(AUTOEVENTO="Manual",IF($B27&gt;0,OFFSET(EVENTOS!$D$15,$B27-$B$15,0),0),IF(B27&lt;=MAX(CÁLCULO!$M$15:$M$22),VLOOKUP($B27,CÁLCULO!$M$15:$N$22,2,FALSE),0))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IF(AUTOEVENTO="Manual",IF(EVENTOS!$F28&gt;0,"F",""),IF(AND(B28&gt;0,B28&lt;=MAX(CÁLCULO!$M$15:$M$22)),"F",""))</f>
        <v/>
      </c>
      <c r="B28" s="247">
        <f t="shared" ca="1" si="1"/>
        <v>13</v>
      </c>
      <c r="C28" s="514">
        <f ca="1">IF(AUTOEVENTO="Manual",IF($B28&gt;0,OFFSET(EVENTOS!$D$15,$B28-$B$15,0),0),IF(B28&lt;=MAX(CÁLCULO!$M$15:$M$22),VLOOKUP($B28,CÁLCULO!$M$15:$N$22,2,FALSE),0))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IF(AUTOEVENTO="Manual",IF(EVENTOS!$F29&gt;0,"F",""),IF(AND(B29&gt;0,B29&lt;=MAX(CÁLCULO!$M$15:$M$22)),"F",""))</f>
        <v/>
      </c>
      <c r="B29" s="247">
        <f t="shared" ca="1" si="1"/>
        <v>14</v>
      </c>
      <c r="C29" s="514">
        <f ca="1">IF(AUTOEVENTO="Manual",IF($B29&gt;0,OFFSET(EVENTOS!$D$15,$B29-$B$15,0),0),IF(B29&lt;=MAX(CÁLCULO!$M$15:$M$22),VLOOKUP($B29,CÁLCULO!$M$15:$N$22,2,FALSE),0))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IF(AUTOEVENTO="Manual",IF(EVENTOS!$F30&gt;0,"F",""),IF(AND(B30&gt;0,B30&lt;=MAX(CÁLCULO!$M$15:$M$22)),"F",""))</f>
        <v/>
      </c>
      <c r="B30" s="247">
        <f t="shared" ca="1" si="1"/>
        <v>15</v>
      </c>
      <c r="C30" s="514">
        <f ca="1">IF(AUTOEVENTO="Manual",IF($B30&gt;0,OFFSET(EVENTOS!$D$15,$B30-$B$15,0),0),IF(B30&lt;=MAX(CÁLCULO!$M$15:$M$22),VLOOKUP($B30,CÁLCULO!$M$15:$N$22,2,FALSE),0))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IF(AUTOEVENTO="Manual",IF(EVENTOS!$F31&gt;0,"F",""),IF(AND(B31&gt;0,B31&lt;=MAX(CÁLCULO!$M$15:$M$22)),"F",""))</f>
        <v/>
      </c>
      <c r="B31" s="247">
        <f t="shared" ca="1" si="1"/>
        <v>16</v>
      </c>
      <c r="C31" s="514">
        <f ca="1">IF(AUTOEVENTO="Manual",IF($B31&gt;0,OFFSET(EVENTOS!$D$15,$B31-$B$15,0),0),IF(B31&lt;=MAX(CÁLCULO!$M$15:$M$22),VLOOKUP($B31,CÁLCULO!$M$15:$N$22,2,FALSE),0))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IF(AUTOEVENTO="Manual",IF(EVENTOS!$F32&gt;0,"F",""),IF(AND(B32&gt;0,B32&lt;=MAX(CÁLCULO!$M$15:$M$22)),"F",""))</f>
        <v/>
      </c>
      <c r="B32" s="247">
        <f t="shared" ca="1" si="1"/>
        <v>17</v>
      </c>
      <c r="C32" s="514">
        <f ca="1">IF(AUTOEVENTO="Manual",IF($B32&gt;0,OFFSET(EVENTOS!$D$15,$B32-$B$15,0),0),IF(B32&lt;=MAX(CÁLCULO!$M$15:$M$22),VLOOKUP($B32,CÁLCULO!$M$15:$N$22,2,FALSE),0))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IF(AUTOEVENTO="Manual",IF(EVENTOS!$F33&gt;0,"F",""),IF(AND(B33&gt;0,B33&lt;=MAX(CÁLCULO!$M$15:$M$22)),"F",""))</f>
        <v/>
      </c>
      <c r="B33" s="247">
        <f t="shared" ca="1" si="1"/>
        <v>18</v>
      </c>
      <c r="C33" s="514">
        <f ca="1">IF(AUTOEVENTO="Manual",IF($B33&gt;0,OFFSET(EVENTOS!$D$15,$B33-$B$15,0),0),IF(B33&lt;=MAX(CÁLCULO!$M$15:$M$22),VLOOKUP($B33,CÁLCULO!$M$15:$N$22,2,FALSE),0))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IF(AUTOEVENTO="Manual",IF(EVENTOS!$F34&gt;0,"F",""),IF(AND(B34&gt;0,B34&lt;=MAX(CÁLCULO!$M$15:$M$22)),"F",""))</f>
        <v/>
      </c>
      <c r="B34" s="247">
        <f t="shared" ca="1" si="1"/>
        <v>19</v>
      </c>
      <c r="C34" s="514">
        <f ca="1">IF(AUTOEVENTO="Manual",IF($B34&gt;0,OFFSET(EVENTOS!$D$15,$B34-$B$15,0),0),IF(B34&lt;=MAX(CÁLCULO!$M$15:$M$22),VLOOKUP($B34,CÁLCULO!$M$15:$N$22,2,FALSE),0))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IF(AUTOEVENTO="Manual",IF(EVENTOS!$F35&gt;0,"F",""),IF(AND(B35&gt;0,B35&lt;=MAX(CÁLCULO!$M$15:$M$22)),"F",""))</f>
        <v/>
      </c>
      <c r="B35" s="247">
        <f t="shared" ca="1" si="1"/>
        <v>20</v>
      </c>
      <c r="C35" s="514">
        <f ca="1">IF(AUTOEVENTO="Manual",IF($B35&gt;0,OFFSET(EVENTOS!$D$15,$B35-$B$15,0),0),IF(B35&lt;=MAX(CÁLCULO!$M$15:$M$22),VLOOKUP($B35,CÁLCULO!$M$15:$N$22,2,FALSE),0))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IF(AUTOEVENTO="Manual",IF(EVENTOS!$F36&gt;0,"F",""),IF(AND(B36&gt;0,B36&lt;=MAX(CÁLCULO!$M$15:$M$22)),"F",""))</f>
        <v/>
      </c>
      <c r="B36" s="247">
        <f t="shared" ca="1" si="1"/>
        <v>21</v>
      </c>
      <c r="C36" s="514">
        <f ca="1">IF(AUTOEVENTO="Manual",IF($B36&gt;0,OFFSET(EVENTOS!$D$15,$B36-$B$15,0),0),IF(B36&lt;=MAX(CÁLCULO!$M$15:$M$22),VLOOKUP($B36,CÁLCULO!$M$15:$N$22,2,FALSE),0))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IF(AUTOEVENTO="Manual",IF(EVENTOS!$F37&gt;0,"F",""),IF(AND(B37&gt;0,B37&lt;=MAX(CÁLCULO!$M$15:$M$22)),"F",""))</f>
        <v/>
      </c>
      <c r="B37" s="247">
        <f t="shared" ca="1" si="1"/>
        <v>22</v>
      </c>
      <c r="C37" s="514">
        <f ca="1">IF(AUTOEVENTO="Manual",IF($B37&gt;0,OFFSET(EVENTOS!$D$15,$B37-$B$15,0),0),IF(B37&lt;=MAX(CÁLCULO!$M$15:$M$22),VLOOKUP($B37,CÁLCULO!$M$15:$N$22,2,FALSE),0))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IF(AUTOEVENTO="Manual",IF(EVENTOS!$F38&gt;0,"F",""),IF(AND(B38&gt;0,B38&lt;=MAX(CÁLCULO!$M$15:$M$22)),"F",""))</f>
        <v/>
      </c>
      <c r="B38" s="247">
        <f t="shared" ca="1" si="1"/>
        <v>23</v>
      </c>
      <c r="C38" s="514">
        <f ca="1">IF(AUTOEVENTO="Manual",IF($B38&gt;0,OFFSET(EVENTOS!$D$15,$B38-$B$15,0),0),IF(B38&lt;=MAX(CÁLCULO!$M$15:$M$22),VLOOKUP($B38,CÁLCULO!$M$15:$N$22,2,FALSE),0))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IF(AUTOEVENTO="Manual",IF(EVENTOS!$F39&gt;0,"F",""),IF(AND(B39&gt;0,B39&lt;=MAX(CÁLCULO!$M$15:$M$22)),"F",""))</f>
        <v/>
      </c>
      <c r="B39" s="247">
        <f t="shared" ca="1" si="1"/>
        <v>24</v>
      </c>
      <c r="C39" s="514">
        <f ca="1">IF(AUTOEVENTO="Manual",IF($B39&gt;0,OFFSET(EVENTOS!$D$15,$B39-$B$15,0),0),IF(B39&lt;=MAX(CÁLCULO!$M$15:$M$22),VLOOKUP($B39,CÁLCULO!$M$15:$N$22,2,FALSE),0))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IF(AUTOEVENTO="Manual",IF(EVENTOS!$F40&gt;0,"F",""),IF(AND(B40&gt;0,B40&lt;=MAX(CÁLCULO!$M$15:$M$22)),"F",""))</f>
        <v/>
      </c>
      <c r="B40" s="247">
        <f t="shared" ca="1" si="1"/>
        <v>25</v>
      </c>
      <c r="C40" s="514">
        <f ca="1">IF(AUTOEVENTO="Manual",IF($B40&gt;0,OFFSET(EVENTOS!$D$15,$B40-$B$15,0),0),IF(B40&lt;=MAX(CÁLCULO!$M$15:$M$22),VLOOKUP($B40,CÁLCULO!$M$15:$N$22,2,FALSE),0))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IF(AUTOEVENTO="Manual",IF(EVENTOS!$F41&gt;0,"F",""),IF(AND(B41&gt;0,B41&lt;=MAX(CÁLCULO!$M$15:$M$22)),"F",""))</f>
        <v/>
      </c>
      <c r="B41" s="247">
        <f t="shared" ca="1" si="1"/>
        <v>26</v>
      </c>
      <c r="C41" s="514">
        <f ca="1">IF(AUTOEVENTO="Manual",IF($B41&gt;0,OFFSET(EVENTOS!$D$15,$B41-$B$15,0),0),IF(B41&lt;=MAX(CÁLCULO!$M$15:$M$22),VLOOKUP($B41,CÁLCULO!$M$15:$N$22,2,FALSE),0))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IF(AUTOEVENTO="Manual",IF(EVENTOS!$F42&gt;0,"F",""),IF(AND(B42&gt;0,B42&lt;=MAX(CÁLCULO!$M$15:$M$22)),"F",""))</f>
        <v/>
      </c>
      <c r="B42" s="247">
        <f t="shared" ca="1" si="1"/>
        <v>27</v>
      </c>
      <c r="C42" s="514">
        <f ca="1">IF(AUTOEVENTO="Manual",IF($B42&gt;0,OFFSET(EVENTOS!$D$15,$B42-$B$15,0),0),IF(B42&lt;=MAX(CÁLCULO!$M$15:$M$22),VLOOKUP($B42,CÁLCULO!$M$15:$N$22,2,FALSE),0))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IF(AUTOEVENTO="Manual",IF(EVENTOS!$F43&gt;0,"F",""),IF(AND(B43&gt;0,B43&lt;=MAX(CÁLCULO!$M$15:$M$22)),"F",""))</f>
        <v/>
      </c>
      <c r="B43" s="247">
        <f t="shared" ca="1" si="1"/>
        <v>28</v>
      </c>
      <c r="C43" s="514">
        <f ca="1">IF(AUTOEVENTO="Manual",IF($B43&gt;0,OFFSET(EVENTOS!$D$15,$B43-$B$15,0),0),IF(B43&lt;=MAX(CÁLCULO!$M$15:$M$22),VLOOKUP($B43,CÁLCULO!$M$15:$N$22,2,FALSE),0))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IF(AUTOEVENTO="Manual",IF(EVENTOS!$F44&gt;0,"F",""),IF(AND(B44&gt;0,B44&lt;=MAX(CÁLCULO!$M$15:$M$22)),"F",""))</f>
        <v/>
      </c>
      <c r="B44" s="247">
        <f t="shared" ca="1" si="1"/>
        <v>29</v>
      </c>
      <c r="C44" s="514">
        <f ca="1">IF(AUTOEVENTO="Manual",IF($B44&gt;0,OFFSET(EVENTOS!$D$15,$B44-$B$15,0),0),IF(B44&lt;=MAX(CÁLCULO!$M$15:$M$22),VLOOKUP($B44,CÁLCULO!$M$15:$N$22,2,FALSE),0))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IF(AUTOEVENTO="Manual",IF(EVENTOS!$F45&gt;0,"F",""),IF(AND(B45&gt;0,B45&lt;=MAX(CÁLCULO!$M$15:$M$22)),"F",""))</f>
        <v/>
      </c>
      <c r="B45" s="247">
        <f t="shared" ca="1" si="1"/>
        <v>30</v>
      </c>
      <c r="C45" s="514">
        <f ca="1">IF(AUTOEVENTO="Manual",IF($B45&gt;0,OFFSET(EVENTOS!$D$15,$B45-$B$15,0),0),IF(B45&lt;=MAX(CÁLCULO!$M$15:$M$22),VLOOKUP($B45,CÁLCULO!$M$15:$N$22,2,FALSE),0))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IF(AUTOEVENTO="Manual",IF(EVENTOS!$F46&gt;0,"F",""),IF(AND(B46&gt;0,B46&lt;=MAX(CÁLCULO!$M$15:$M$22)),"F",""))</f>
        <v/>
      </c>
      <c r="B46" s="247">
        <f t="shared" ca="1" si="1"/>
        <v>31</v>
      </c>
      <c r="C46" s="514">
        <f ca="1">IF(AUTOEVENTO="Manual",IF($B46&gt;0,OFFSET(EVENTOS!$D$15,$B46-$B$15,0),0),IF(B46&lt;=MAX(CÁLCULO!$M$15:$M$22),VLOOKUP($B46,CÁLCULO!$M$15:$N$22,2,FALSE),0))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IF(AUTOEVENTO="Manual",IF(EVENTOS!$F47&gt;0,"F",""),IF(AND(B47&gt;0,B47&lt;=MAX(CÁLCULO!$M$15:$M$22)),"F",""))</f>
        <v/>
      </c>
      <c r="B47" s="247">
        <f t="shared" ca="1" si="1"/>
        <v>32</v>
      </c>
      <c r="C47" s="514">
        <f ca="1">IF(AUTOEVENTO="Manual",IF($B47&gt;0,OFFSET(EVENTOS!$D$15,$B47-$B$15,0),0),IF(B47&lt;=MAX(CÁLCULO!$M$15:$M$22),VLOOKUP($B47,CÁLCULO!$M$15:$N$22,2,FALSE),0))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IF(AUTOEVENTO="Manual",IF(EVENTOS!$F48&gt;0,"F",""),IF(AND(B48&gt;0,B48&lt;=MAX(CÁLCULO!$M$15:$M$22)),"F",""))</f>
        <v/>
      </c>
      <c r="B48" s="247">
        <f t="shared" ca="1" si="1"/>
        <v>33</v>
      </c>
      <c r="C48" s="514">
        <f ca="1">IF(AUTOEVENTO="Manual",IF($B48&gt;0,OFFSET(EVENTOS!$D$15,$B48-$B$15,0),0),IF(B48&lt;=MAX(CÁLCULO!$M$15:$M$22),VLOOKUP($B48,CÁLCULO!$M$15:$N$22,2,FALSE),0))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IF(AUTOEVENTO="Manual",IF(EVENTOS!$F49&gt;0,"F",""),IF(AND(B49&gt;0,B49&lt;=MAX(CÁLCULO!$M$15:$M$22)),"F",""))</f>
        <v/>
      </c>
      <c r="B49" s="247">
        <f t="shared" ca="1" si="1"/>
        <v>34</v>
      </c>
      <c r="C49" s="514">
        <f ca="1">IF(AUTOEVENTO="Manual",IF($B49&gt;0,OFFSET(EVENTOS!$D$15,$B49-$B$15,0),0),IF(B49&lt;=MAX(CÁLCULO!$M$15:$M$22),VLOOKUP($B49,CÁLCULO!$M$15:$N$22,2,FALSE),0))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IF(AUTOEVENTO="Manual",IF(EVENTOS!$F50&gt;0,"F",""),IF(AND(B50&gt;0,B50&lt;=MAX(CÁLCULO!$M$15:$M$22)),"F",""))</f>
        <v/>
      </c>
      <c r="B50" s="247">
        <f t="shared" ca="1" si="1"/>
        <v>35</v>
      </c>
      <c r="C50" s="514">
        <f ca="1">IF(AUTOEVENTO="Manual",IF($B50&gt;0,OFFSET(EVENTOS!$D$15,$B50-$B$15,0),0),IF(B50&lt;=MAX(CÁLCULO!$M$15:$M$22),VLOOKUP($B50,CÁLCULO!$M$15:$N$22,2,FALSE),0))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IF(AUTOEVENTO="Manual",IF(EVENTOS!$F51&gt;0,"F",""),IF(AND(B51&gt;0,B51&lt;=MAX(CÁLCULO!$M$15:$M$22)),"F",""))</f>
        <v/>
      </c>
      <c r="B51" s="247">
        <f t="shared" ca="1" si="1"/>
        <v>36</v>
      </c>
      <c r="C51" s="514">
        <f ca="1">IF(AUTOEVENTO="Manual",IF($B51&gt;0,OFFSET(EVENTOS!$D$15,$B51-$B$15,0),0),IF(B51&lt;=MAX(CÁLCULO!$M$15:$M$22),VLOOKUP($B51,CÁLCULO!$M$15:$N$22,2,FALSE),0))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IF(AUTOEVENTO="Manual",IF(EVENTOS!$F52&gt;0,"F",""),IF(AND(B52&gt;0,B52&lt;=MAX(CÁLCULO!$M$15:$M$22)),"F",""))</f>
        <v/>
      </c>
      <c r="B52" s="247">
        <f t="shared" ca="1" si="1"/>
        <v>37</v>
      </c>
      <c r="C52" s="514">
        <f ca="1">IF(AUTOEVENTO="Manual",IF($B52&gt;0,OFFSET(EVENTOS!$D$15,$B52-$B$15,0),0),IF(B52&lt;=MAX(CÁLCULO!$M$15:$M$22),VLOOKUP($B52,CÁLCULO!$M$15:$N$22,2,FALSE),0))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IF(AUTOEVENTO="Manual",IF(EVENTOS!$F53&gt;0,"F",""),IF(AND(B53&gt;0,B53&lt;=MAX(CÁLCULO!$M$15:$M$22)),"F",""))</f>
        <v/>
      </c>
      <c r="B53" s="247">
        <f t="shared" ca="1" si="1"/>
        <v>38</v>
      </c>
      <c r="C53" s="514">
        <f ca="1">IF(AUTOEVENTO="Manual",IF($B53&gt;0,OFFSET(EVENTOS!$D$15,$B53-$B$15,0),0),IF(B53&lt;=MAX(CÁLCULO!$M$15:$M$22),VLOOKUP($B53,CÁLCULO!$M$15:$N$22,2,FALSE),0))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IF(AUTOEVENTO="Manual",IF(EVENTOS!$F54&gt;0,"F",""),IF(AND(B54&gt;0,B54&lt;=MAX(CÁLCULO!$M$15:$M$22)),"F",""))</f>
        <v/>
      </c>
      <c r="B54" s="247">
        <f t="shared" ca="1" si="1"/>
        <v>39</v>
      </c>
      <c r="C54" s="514">
        <f ca="1">IF(AUTOEVENTO="Manual",IF($B54&gt;0,OFFSET(EVENTOS!$D$15,$B54-$B$15,0),0),IF(B54&lt;=MAX(CÁLCULO!$M$15:$M$22),VLOOKUP($B54,CÁLCULO!$M$15:$N$22,2,FALSE),0))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IF(AUTOEVENTO="Manual",IF(EVENTOS!$F55&gt;0,"F",""),IF(AND(B55&gt;0,B55&lt;=MAX(CÁLCULO!$M$15:$M$22)),"F",""))</f>
        <v/>
      </c>
      <c r="B55" s="247">
        <f t="shared" ca="1" si="1"/>
        <v>40</v>
      </c>
      <c r="C55" s="514">
        <f ca="1">IF(AUTOEVENTO="Manual",IF($B55&gt;0,OFFSET(EVENTOS!$D$15,$B55-$B$15,0),0),IF(B55&lt;=MAX(CÁLCULO!$M$15:$M$22),VLOOKUP($B55,CÁLCULO!$M$15:$N$22,2,FALSE),0))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IF(AUTOEVENTO="Manual",IF(EVENTOS!$F56&gt;0,"F",""),IF(AND(B56&gt;0,B56&lt;=MAX(CÁLCULO!$M$15:$M$22)),"F",""))</f>
        <v/>
      </c>
      <c r="B56" s="247">
        <f t="shared" ca="1" si="1"/>
        <v>41</v>
      </c>
      <c r="C56" s="514">
        <f ca="1">IF(AUTOEVENTO="Manual",IF($B56&gt;0,OFFSET(EVENTOS!$D$15,$B56-$B$15,0),0),IF(B56&lt;=MAX(CÁLCULO!$M$15:$M$22),VLOOKUP($B56,CÁLCULO!$M$15:$N$22,2,FALSE),0))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IF(AUTOEVENTO="Manual",IF(EVENTOS!$F57&gt;0,"F",""),IF(AND(B57&gt;0,B57&lt;=MAX(CÁLCULO!$M$15:$M$22)),"F",""))</f>
        <v/>
      </c>
      <c r="B57" s="247">
        <f t="shared" ca="1" si="1"/>
        <v>42</v>
      </c>
      <c r="C57" s="514">
        <f ca="1">IF(AUTOEVENTO="Manual",IF($B57&gt;0,OFFSET(EVENTOS!$D$15,$B57-$B$15,0),0),IF(B57&lt;=MAX(CÁLCULO!$M$15:$M$22),VLOOKUP($B57,CÁLCULO!$M$15:$N$22,2,FALSE),0))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IF(AUTOEVENTO="Manual",IF(EVENTOS!$F58&gt;0,"F",""),IF(AND(B58&gt;0,B58&lt;=MAX(CÁLCULO!$M$15:$M$22)),"F",""))</f>
        <v/>
      </c>
      <c r="B58" s="247">
        <f t="shared" ca="1" si="1"/>
        <v>43</v>
      </c>
      <c r="C58" s="514">
        <f ca="1">IF(AUTOEVENTO="Manual",IF($B58&gt;0,OFFSET(EVENTOS!$D$15,$B58-$B$15,0),0),IF(B58&lt;=MAX(CÁLCULO!$M$15:$M$22),VLOOKUP($B58,CÁLCULO!$M$15:$N$22,2,FALSE),0))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IF(AUTOEVENTO="Manual",IF(EVENTOS!$F59&gt;0,"F",""),IF(AND(B59&gt;0,B59&lt;=MAX(CÁLCULO!$M$15:$M$22)),"F",""))</f>
        <v/>
      </c>
      <c r="B59" s="247">
        <f t="shared" ca="1" si="1"/>
        <v>44</v>
      </c>
      <c r="C59" s="514">
        <f ca="1">IF(AUTOEVENTO="Manual",IF($B59&gt;0,OFFSET(EVENTOS!$D$15,$B59-$B$15,0),0),IF(B59&lt;=MAX(CÁLCULO!$M$15:$M$22),VLOOKUP($B59,CÁLCULO!$M$15:$N$22,2,FALSE),0))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IF(AUTOEVENTO="Manual",IF(EVENTOS!$F60&gt;0,"F",""),IF(AND(B60&gt;0,B60&lt;=MAX(CÁLCULO!$M$15:$M$22)),"F",""))</f>
        <v/>
      </c>
      <c r="B60" s="247">
        <f t="shared" ca="1" si="1"/>
        <v>45</v>
      </c>
      <c r="C60" s="514">
        <f ca="1">IF(AUTOEVENTO="Manual",IF($B60&gt;0,OFFSET(EVENTOS!$D$15,$B60-$B$15,0),0),IF(B60&lt;=MAX(CÁLCULO!$M$15:$M$22),VLOOKUP($B60,CÁLCULO!$M$15:$N$22,2,FALSE),0))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IF(AUTOEVENTO="Manual",IF(EVENTOS!$F61&gt;0,"F",""),IF(AND(B61&gt;0,B61&lt;=MAX(CÁLCULO!$M$15:$M$22)),"F",""))</f>
        <v/>
      </c>
      <c r="B61" s="247">
        <f t="shared" ca="1" si="1"/>
        <v>46</v>
      </c>
      <c r="C61" s="514">
        <f ca="1">IF(AUTOEVENTO="Manual",IF($B61&gt;0,OFFSET(EVENTOS!$D$15,$B61-$B$15,0),0),IF(B61&lt;=MAX(CÁLCULO!$M$15:$M$22),VLOOKUP($B61,CÁLCULO!$M$15:$N$22,2,FALSE),0))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IF(AUTOEVENTO="Manual",IF(EVENTOS!$F62&gt;0,"F",""),IF(AND(B62&gt;0,B62&lt;=MAX(CÁLCULO!$M$15:$M$22)),"F",""))</f>
        <v/>
      </c>
      <c r="B62" s="247">
        <f t="shared" ca="1" si="1"/>
        <v>47</v>
      </c>
      <c r="C62" s="514">
        <f ca="1">IF(AUTOEVENTO="Manual",IF($B62&gt;0,OFFSET(EVENTOS!$D$15,$B62-$B$15,0),0),IF(B62&lt;=MAX(CÁLCULO!$M$15:$M$22),VLOOKUP($B62,CÁLCULO!$M$15:$N$22,2,FALSE),0))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IF(AUTOEVENTO="Manual",IF(EVENTOS!$F63&gt;0,"F",""),IF(AND(B63&gt;0,B63&lt;=MAX(CÁLCULO!$M$15:$M$22)),"F",""))</f>
        <v/>
      </c>
      <c r="B63" s="247">
        <f t="shared" ca="1" si="1"/>
        <v>48</v>
      </c>
      <c r="C63" s="514">
        <f ca="1">IF(AUTOEVENTO="Manual",IF($B63&gt;0,OFFSET(EVENTOS!$D$15,$B63-$B$15,0),0),IF(B63&lt;=MAX(CÁLCULO!$M$15:$M$22),VLOOKUP($B63,CÁLCULO!$M$15:$N$22,2,FALSE),0))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IF(AUTOEVENTO="Manual",IF(EVENTOS!$F64&gt;0,"F",""),IF(AND(B64&gt;0,B64&lt;=MAX(CÁLCULO!$M$15:$M$22)),"F",""))</f>
        <v/>
      </c>
      <c r="B64" s="247">
        <f t="shared" ca="1" si="1"/>
        <v>49</v>
      </c>
      <c r="C64" s="514">
        <f ca="1">IF(AUTOEVENTO="Manual",IF($B64&gt;0,OFFSET(EVENTOS!$D$15,$B64-$B$15,0),0),IF(B64&lt;=MAX(CÁLCULO!$M$15:$M$22),VLOOKUP($B64,CÁLCULO!$M$15:$N$22,2,FALSE),0))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f ca="1">OFFSET(CRONO!$T$165,0,CRONOPLE!H67)</f>
        <v>0.5</v>
      </c>
      <c r="I68" s="744"/>
      <c r="J68" s="744">
        <f ca="1">OFFSET(CRONO!$T$165,0,CRONOPLE!J67)</f>
        <v>0.5</v>
      </c>
      <c r="K68" s="744"/>
      <c r="L68" s="744">
        <f ca="1">OFFSET(CRONO!$T$165,0,CRONOPLE!L67)</f>
        <v>0</v>
      </c>
      <c r="M68" s="744"/>
      <c r="N68" s="744">
        <f ca="1">OFFSET(CRONO!$T$165,0,CRONOPLE!N67)</f>
        <v>0</v>
      </c>
      <c r="O68" s="744"/>
      <c r="P68" s="744">
        <f ca="1">OFFSET(CRONO!$T$165,0,CRONOPLE!P67)</f>
        <v>0</v>
      </c>
      <c r="Q68" s="744"/>
      <c r="R68" s="744">
        <f ca="1">OFFSET(CRONO!$T$165,0,CRONOPLE!R67)</f>
        <v>0</v>
      </c>
      <c r="S68" s="744"/>
      <c r="T68" s="744">
        <f ca="1">OFFSET(CRONO!$T$165,0,CRONOPLE!T67)</f>
        <v>0</v>
      </c>
      <c r="U68" s="744"/>
      <c r="V68" s="744">
        <f ca="1">OFFSET(CRONO!$T$165,0,CRONOPLE!V67)</f>
        <v>0</v>
      </c>
      <c r="W68" s="744"/>
      <c r="X68" s="744">
        <f ca="1">OFFSET(CRONO!$T$165,0,CRONOPLE!X67)</f>
        <v>0</v>
      </c>
      <c r="Y68" s="744"/>
      <c r="Z68" s="744">
        <f ca="1">OFFSET(CRONO!$T$165,0,CRONOPLE!Z67)</f>
        <v>0</v>
      </c>
      <c r="AA68" s="744"/>
      <c r="AB68" s="744">
        <f ca="1">OFFSET(CRONO!$T$165,0,CRONOPLE!AB67)</f>
        <v>0</v>
      </c>
      <c r="AC68" s="744"/>
      <c r="AD68" s="744">
        <f ca="1">OFFSET(CRONO!$T$165,0,CRONOPLE!AD67)</f>
        <v>0</v>
      </c>
      <c r="AE68" s="744"/>
    </row>
    <row r="69" spans="1:31" ht="12.75" customHeight="1" x14ac:dyDescent="0.2">
      <c r="A69" s="7" t="s">
        <v>536</v>
      </c>
      <c r="C69" s="756"/>
      <c r="G69" s="487" t="s">
        <v>782</v>
      </c>
      <c r="H69" s="757">
        <f ca="1">OFFSET(CRONO!$T$169,0,CRONOPLE!H67)</f>
        <v>65920.31</v>
      </c>
      <c r="I69" s="757"/>
      <c r="J69" s="742">
        <f ca="1">OFFSET(CRONO!$T$169,0,CRONOPLE!J67)</f>
        <v>65920.31</v>
      </c>
      <c r="K69" s="743"/>
      <c r="L69" s="742">
        <f ca="1">OFFSET(CRONO!$T$169,0,CRONOPLE!L67)</f>
        <v>0</v>
      </c>
      <c r="M69" s="743"/>
      <c r="N69" s="742">
        <f ca="1">OFFSET(CRONO!$T$169,0,CRONOPLE!N67)</f>
        <v>0</v>
      </c>
      <c r="O69" s="743"/>
      <c r="P69" s="742">
        <f ca="1">OFFSET(CRONO!$T$169,0,CRONOPLE!P67)</f>
        <v>0</v>
      </c>
      <c r="Q69" s="743"/>
      <c r="R69" s="742">
        <f ca="1">OFFSET(CRONO!$T$169,0,CRONOPLE!R67)</f>
        <v>0</v>
      </c>
      <c r="S69" s="743"/>
      <c r="T69" s="742">
        <f ca="1">OFFSET(CRONO!$T$169,0,CRONOPLE!T67)</f>
        <v>0</v>
      </c>
      <c r="U69" s="743"/>
      <c r="V69" s="742">
        <f ca="1">OFFSET(CRONO!$T$169,0,CRONOPLE!V67)</f>
        <v>0</v>
      </c>
      <c r="W69" s="743"/>
      <c r="X69" s="742">
        <f ca="1">OFFSET(CRONO!$T$169,0,CRONOPLE!X67)</f>
        <v>0</v>
      </c>
      <c r="Y69" s="743"/>
      <c r="Z69" s="742">
        <f ca="1">OFFSET(CRONO!$T$169,0,CRONOPLE!Z67)</f>
        <v>0</v>
      </c>
      <c r="AA69" s="743"/>
      <c r="AB69" s="742">
        <f ca="1">OFFSET(CRONO!$T$169,0,CRONOPLE!AB67)</f>
        <v>0</v>
      </c>
      <c r="AC69" s="743"/>
      <c r="AD69" s="742">
        <f ca="1">OFFSET(CRONO!$T$169,0,CRONOPLE!AD67)</f>
        <v>0</v>
      </c>
      <c r="AE69" s="743"/>
    </row>
    <row r="70" spans="1:31" ht="12.75" customHeight="1" x14ac:dyDescent="0.2">
      <c r="A70" s="7" t="s">
        <v>536</v>
      </c>
      <c r="C70" s="755" t="s">
        <v>783</v>
      </c>
      <c r="G70" s="551" t="s">
        <v>781</v>
      </c>
      <c r="H70" s="744">
        <f ca="1">OFFSET(CRONO!$T$170,0,CRONOPLE!H67)</f>
        <v>0.5</v>
      </c>
      <c r="I70" s="744"/>
      <c r="J70" s="747">
        <f ca="1">OFFSET(CRONO!$T$170,0,CRONOPLE!J67)</f>
        <v>1</v>
      </c>
      <c r="K70" s="748"/>
      <c r="L70" s="747">
        <f ca="1">OFFSET(CRONO!$T$170,0,CRONOPLE!L67)</f>
        <v>1</v>
      </c>
      <c r="M70" s="748"/>
      <c r="N70" s="747">
        <f ca="1">OFFSET(CRONO!$T$170,0,CRONOPLE!N67)</f>
        <v>1</v>
      </c>
      <c r="O70" s="748"/>
      <c r="P70" s="747">
        <f ca="1">OFFSET(CRONO!$T$170,0,CRONOPLE!P67)</f>
        <v>1</v>
      </c>
      <c r="Q70" s="748"/>
      <c r="R70" s="747">
        <f ca="1">OFFSET(CRONO!$T$170,0,CRONOPLE!R67)</f>
        <v>1</v>
      </c>
      <c r="S70" s="748"/>
      <c r="T70" s="747">
        <f ca="1">OFFSET(CRONO!$T$170,0,CRONOPLE!T67)</f>
        <v>1</v>
      </c>
      <c r="U70" s="748"/>
      <c r="V70" s="747">
        <f ca="1">OFFSET(CRONO!$T$170,0,CRONOPLE!V67)</f>
        <v>1</v>
      </c>
      <c r="W70" s="748"/>
      <c r="X70" s="747">
        <f ca="1">OFFSET(CRONO!$T$170,0,CRONOPLE!X67)</f>
        <v>1</v>
      </c>
      <c r="Y70" s="748"/>
      <c r="Z70" s="747">
        <f ca="1">OFFSET(CRONO!$T$170,0,CRONOPLE!Z67)</f>
        <v>1</v>
      </c>
      <c r="AA70" s="748"/>
      <c r="AB70" s="747">
        <f ca="1">OFFSET(CRONO!$T$170,0,CRONOPLE!AB67)</f>
        <v>1</v>
      </c>
      <c r="AC70" s="748"/>
      <c r="AD70" s="747">
        <f ca="1">OFFSET(CRONO!$T$170,0,CRONOPLE!AD67)</f>
        <v>1</v>
      </c>
      <c r="AE70" s="748"/>
    </row>
    <row r="71" spans="1:31" ht="12.75" customHeight="1" x14ac:dyDescent="0.2">
      <c r="A71" s="7" t="s">
        <v>536</v>
      </c>
      <c r="C71" s="761"/>
      <c r="G71" s="487" t="s">
        <v>782</v>
      </c>
      <c r="H71" s="760">
        <f ca="1">OFFSET(CRONO!$T$174,0,CRONOPLE!H67)</f>
        <v>65920.31</v>
      </c>
      <c r="I71" s="760"/>
      <c r="J71" s="749">
        <f ca="1">OFFSET(CRONO!$T$174,0,CRONOPLE!J67)</f>
        <v>131840.62</v>
      </c>
      <c r="K71" s="750"/>
      <c r="L71" s="749">
        <f ca="1">OFFSET(CRONO!$T$174,0,CRONOPLE!L67)</f>
        <v>131840.62</v>
      </c>
      <c r="M71" s="750"/>
      <c r="N71" s="749">
        <f ca="1">OFFSET(CRONO!$T$174,0,CRONOPLE!N67)</f>
        <v>131840.62</v>
      </c>
      <c r="O71" s="750"/>
      <c r="P71" s="749">
        <f ca="1">OFFSET(CRONO!$T$174,0,CRONOPLE!P67)</f>
        <v>131840.62</v>
      </c>
      <c r="Q71" s="750"/>
      <c r="R71" s="749">
        <f ca="1">OFFSET(CRONO!$T$174,0,CRONOPLE!R67)</f>
        <v>131840.62</v>
      </c>
      <c r="S71" s="750"/>
      <c r="T71" s="749">
        <f ca="1">OFFSET(CRONO!$T$174,0,CRONOPLE!T67)</f>
        <v>131840.62</v>
      </c>
      <c r="U71" s="750"/>
      <c r="V71" s="749">
        <f ca="1">OFFSET(CRONO!$T$174,0,CRONOPLE!V67)</f>
        <v>131840.62</v>
      </c>
      <c r="W71" s="750"/>
      <c r="X71" s="749">
        <f ca="1">OFFSET(CRONO!$T$174,0,CRONOPLE!X67)</f>
        <v>131840.62</v>
      </c>
      <c r="Y71" s="750"/>
      <c r="Z71" s="749">
        <f ca="1">OFFSET(CRONO!$T$174,0,CRONOPLE!Z67)</f>
        <v>131840.62</v>
      </c>
      <c r="AA71" s="750"/>
      <c r="AB71" s="749">
        <f ca="1">OFFSET(CRONO!$T$174,0,CRONOPLE!AB67)</f>
        <v>131840.62</v>
      </c>
      <c r="AC71" s="750"/>
      <c r="AD71" s="749">
        <f ca="1">OFFSET(CRONO!$T$174,0,CRONOPLE!AD67)</f>
        <v>131840.62</v>
      </c>
      <c r="AE71" s="750"/>
    </row>
    <row r="72" spans="1:31" ht="12.75" customHeight="1" x14ac:dyDescent="0.2">
      <c r="A72" s="7" t="s">
        <v>536</v>
      </c>
      <c r="C72" s="552" t="s">
        <v>784</v>
      </c>
      <c r="D72" s="550"/>
      <c r="G72" s="551" t="s">
        <v>781</v>
      </c>
      <c r="H72" s="744" t="str">
        <f ca="1">OFFSET(CRONO!$T$175,0,CRONOPLE!H67)</f>
        <v/>
      </c>
      <c r="I72" s="744"/>
      <c r="J72" s="745" t="str">
        <f ca="1">OFFSET(CRONO!$T$175,0,CRONOPLE!J67)</f>
        <v/>
      </c>
      <c r="K72" s="746"/>
      <c r="L72" s="745" t="str">
        <f ca="1">OFFSET(CRONO!$T$175,0,CRONOPLE!L67)</f>
        <v/>
      </c>
      <c r="M72" s="746"/>
      <c r="N72" s="745" t="str">
        <f ca="1">OFFSET(CRONO!$T$175,0,CRONOPLE!N67)</f>
        <v/>
      </c>
      <c r="O72" s="746"/>
      <c r="P72" s="745" t="str">
        <f ca="1">OFFSET(CRONO!$T$175,0,CRONOPLE!P67)</f>
        <v/>
      </c>
      <c r="Q72" s="746"/>
      <c r="R72" s="745" t="str">
        <f ca="1">OFFSET(CRONO!$T$175,0,CRONOPLE!R67)</f>
        <v/>
      </c>
      <c r="S72" s="746"/>
      <c r="T72" s="745" t="str">
        <f ca="1">OFFSET(CRONO!$T$175,0,CRONOPLE!T67)</f>
        <v/>
      </c>
      <c r="U72" s="746"/>
      <c r="V72" s="745" t="str">
        <f ca="1">OFFSET(CRONO!$T$175,0,CRONOPLE!V67)</f>
        <v/>
      </c>
      <c r="W72" s="746"/>
      <c r="X72" s="745" t="str">
        <f ca="1">OFFSET(CRONO!$T$175,0,CRONOPLE!X67)</f>
        <v/>
      </c>
      <c r="Y72" s="746"/>
      <c r="Z72" s="745" t="str">
        <f ca="1">OFFSET(CRONO!$T$175,0,CRONOPLE!Z67)</f>
        <v/>
      </c>
      <c r="AA72" s="746"/>
      <c r="AB72" s="745" t="str">
        <f ca="1">OFFSET(CRONO!$T$175,0,CRONOPLE!AB67)</f>
        <v/>
      </c>
      <c r="AC72" s="746"/>
      <c r="AD72" s="745" t="str">
        <f ca="1">OFFSET(CRONO!$T$175,0,CRONOPLE!AD67)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Ivorá/RS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Vitor Camargo Costa</v>
      </c>
    </row>
    <row r="78" spans="1:31" ht="16.5" x14ac:dyDescent="0.3">
      <c r="A78" s="7" t="s">
        <v>536</v>
      </c>
      <c r="B78" s="762">
        <f>DADOS!$C$25</f>
        <v>45957</v>
      </c>
      <c r="C78" s="762"/>
      <c r="F78" s="185"/>
      <c r="G78" s="185"/>
      <c r="H78" s="185"/>
      <c r="I78" s="185"/>
      <c r="J78" s="185"/>
      <c r="K78" s="185"/>
      <c r="L78" s="187"/>
      <c r="V78" s="398" t="str">
        <f ca="1"/>
        <v>CREA/CAU: RS203284</v>
      </c>
    </row>
    <row r="79" spans="1:31" x14ac:dyDescent="0.2">
      <c r="A79" s="7" t="s">
        <v>536</v>
      </c>
      <c r="B79" s="9" t="s">
        <v>694</v>
      </c>
      <c r="F79" s="185"/>
      <c r="G79" s="185"/>
      <c r="H79" s="185"/>
      <c r="I79" s="185"/>
      <c r="J79" s="185"/>
      <c r="K79" s="185"/>
      <c r="L79" s="187"/>
      <c r="V79" s="398" t="str">
        <f ca="1"/>
        <v xml:space="preserve">ART/RRT: </v>
      </c>
    </row>
  </sheetData>
  <sheetProtection algorithmName="SHA-512" hashValue="bzuXDHO4yDoo20SmY4RoZLJhOxlpE43QtN4R/7PXx+trcz8j7BYoWIj3uaf8jnTBZKUaLvzXwgJPeiw05wCwiA==" saltValue="sX1nzk3eJfZdP2I8yOyjrg=="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337" priority="802" stopIfTrue="1">
      <formula>IF(OR(E$12&gt;CÁLCULO.NúmeroDeFrentes,ACOMPANHAMENTO="BM"),TRUE,CRONOPLE.ValorDoEvento=0)</formula>
    </cfRule>
  </conditionalFormatting>
  <conditionalFormatting sqref="U4:Y4">
    <cfRule type="expression" dxfId="336" priority="692" stopIfTrue="1">
      <formula>QCI.ExisteManual</formula>
    </cfRule>
  </conditionalFormatting>
  <conditionalFormatting sqref="J67:AE67">
    <cfRule type="expression" dxfId="335" priority="691" stopIfTrue="1">
      <formula>OFFSET(J67,3,-2)=1</formula>
    </cfRule>
  </conditionalFormatting>
  <conditionalFormatting sqref="J68:AE68">
    <cfRule type="expression" dxfId="334" priority="686" stopIfTrue="1">
      <formula>OFFSET(J68,2,-2)=1</formula>
    </cfRule>
  </conditionalFormatting>
  <conditionalFormatting sqref="J69:AE69">
    <cfRule type="expression" dxfId="333" priority="685" stopIfTrue="1">
      <formula>OFFSET(J69,1,-2)=1</formula>
    </cfRule>
  </conditionalFormatting>
  <conditionalFormatting sqref="J70:AE70">
    <cfRule type="expression" dxfId="332" priority="684" stopIfTrue="1">
      <formula>OFFSET(J70,0,-2)=1</formula>
    </cfRule>
  </conditionalFormatting>
  <conditionalFormatting sqref="J71:AE71">
    <cfRule type="expression" dxfId="331" priority="683" stopIfTrue="1">
      <formula>OFFSET(J71,-1,-2)=1</formula>
    </cfRule>
  </conditionalFormatting>
  <conditionalFormatting sqref="B15:C15 E15 G15:AF15">
    <cfRule type="expression" dxfId="330" priority="507">
      <formula>$B$15=0</formula>
    </cfRule>
  </conditionalFormatting>
  <conditionalFormatting sqref="B8:C8">
    <cfRule type="expression" dxfId="329" priority="506">
      <formula>$B$7=""</formula>
    </cfRule>
  </conditionalFormatting>
  <conditionalFormatting sqref="J72:AE72">
    <cfRule type="expression" dxfId="328" priority="505">
      <formula>OFFSET(J72,-2,-2)=1</formula>
    </cfRule>
  </conditionalFormatting>
  <conditionalFormatting sqref="H72:AE72">
    <cfRule type="expression" dxfId="327" priority="504">
      <formula>ROUND(H72,4)&gt;ROUND(H70,4)</formula>
    </cfRule>
  </conditionalFormatting>
  <conditionalFormatting sqref="E16:E24 G16:AE24">
    <cfRule type="expression" dxfId="326" priority="6" stopIfTrue="1">
      <formula>IF(OR(E$12&gt;CÁLCULO.NúmeroDeFrentes,ACOMPANHAMENTO="BM"),TRUE,CRONOPLE.ValorDoEvento=0)</formula>
    </cfRule>
  </conditionalFormatting>
  <conditionalFormatting sqref="E25:E33 G25:AE33">
    <cfRule type="expression" dxfId="325" priority="5" stopIfTrue="1">
      <formula>IF(OR(E$12&gt;CÁLCULO.NúmeroDeFrentes,ACOMPANHAMENTO="BM"),TRUE,CRONOPLE.ValorDoEvento=0)</formula>
    </cfRule>
  </conditionalFormatting>
  <conditionalFormatting sqref="E34:E42 G34:AE42">
    <cfRule type="expression" dxfId="324" priority="4" stopIfTrue="1">
      <formula>IF(OR(E$12&gt;CÁLCULO.NúmeroDeFrentes,ACOMPANHAMENTO="BM"),TRUE,CRONOPLE.ValorDoEvento=0)</formula>
    </cfRule>
  </conditionalFormatting>
  <conditionalFormatting sqref="E43:E51 G43:AE51">
    <cfRule type="expression" dxfId="323" priority="3" stopIfTrue="1">
      <formula>IF(OR(E$12&gt;CÁLCULO.NúmeroDeFrentes,ACOMPANHAMENTO="BM"),TRUE,CRONOPLE.ValorDoEvento=0)</formula>
    </cfRule>
  </conditionalFormatting>
  <conditionalFormatting sqref="E52:E60 G52:AE60">
    <cfRule type="expression" dxfId="322" priority="2" stopIfTrue="1">
      <formula>IF(OR(E$12&gt;CÁLCULO.NúmeroDeFrentes,ACOMPANHAMENTO="BM"),TRUE,CRONOPLE.ValorDoEvento=0)</formula>
    </cfRule>
  </conditionalFormatting>
  <conditionalFormatting sqref="E61:E64 G61:AE64">
    <cfRule type="expression" dxfId="32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activeCell="V29" sqref="V29"/>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SUMIF(CÁLCULO!$AM$15:$AW$22,CRONO!E$12,CÁLCULO!$AB$15:$AL$22)/(ORÇAMENTO!$X$15-CÁLCULO.TotalAdmLocal)*CRONO!$F3,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SUMIF(CÁLCULO!$AM$15:$AW$22,CRONO!U$12,CÁLCULO!$AB$15:$AL$22)/(ORÇAMENTO!$X$15-CÁLCULO.TotalAdmLocal)*CRONO!$F3,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SUMIF(CÁLCULO!$AM$15:$AW$22,CRONO!V$12,CÁLCULO!$AB$15:$AL$22)/(ORÇAMENTO!$X$15-CÁLCULO.TotalAdmLocal)*CRONO!$F3,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SUMIF(CÁLCULO!$AM$15:$AW$22,CRONO!W$12,CÁLCULO!$AB$15:$AL$22)/(ORÇAMENTO!$X$15-CÁLCULO.TotalAdmLocal)*CRONO!$F3,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SUMIF(CÁLCULO!$AM$15:$AW$22,CRONO!X$12,CÁLCULO!$AB$15:$AL$22)/(ORÇAMENTO!$X$15-CÁLCULO.TotalAdmLocal)*CRONO!$F3,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SUMIF(CÁLCULO!$AM$15:$AW$22,CRONO!Y$12,CÁLCULO!$AB$15:$AL$22)/(ORÇAMENTO!$X$15-CÁLCULO.TotalAdmLocal)*CRONO!$F3,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SUMIF(CÁLCULO!$AM$15:$AW$22,CRONO!Z$12,CÁLCULO!$AB$15:$AL$22)/(ORÇAMENTO!$X$15-CÁLCULO.TotalAdmLocal)*CRONO!$F3,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SUMIF(CÁLCULO!$AM$15:$AW$22,CRONO!AA$12,CÁLCULO!$AB$15:$AL$22)/(ORÇAMENTO!$X$15-CÁLCULO.TotalAdmLocal)*CRONO!$F3,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SUMIF(CÁLCULO!$AM$15:$AW$22,CRONO!AB$12,CÁLCULO!$AB$15:$AL$22)/(ORÇAMENTO!$X$15-CÁLCULO.TotalAdmLocal)*CRONO!$F3,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SUMIF(CÁLCULO!$AM$15:$AW$22,CRONO!AC$12,CÁLCULO!$AB$15:$AL$22)/(ORÇAMENTO!$X$15-CÁLCULO.TotalAdmLocal)*CRONO!$F3,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SUMIF(CÁLCULO!$AM$15:$AW$22,CRONO!AD$12,CÁLCULO!$AB$15:$AL$22)/(ORÇAMENTO!$X$15-CÁLCULO.TotalAdmLocal)*CRONO!$F3,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SUMIF(CÁLCULO!$AM$15:$AW$22,CRONO!AE$12,CÁLCULO!$AB$15:$AL$22)/(ORÇAMENTO!$X$15-CÁLCULO.TotalAdmLocal)*CRONO!$F3,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SUMIF(CÁLCULO!$AM$15:$AW$22,CRONO!AF$12,CÁLCULO!$AB$15:$AL$22)/(ORÇAMENTO!$X$15-CÁLCULO.TotalAdmLocal)*CRONO!$F3,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(SELECIONAR)</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f>Import.CR</f>
        <v>0</v>
      </c>
      <c r="J8" s="763"/>
      <c r="K8" s="214">
        <f>Import.TransfereGOV</f>
        <v>0</v>
      </c>
      <c r="L8" s="773">
        <f>Import.Proponente</f>
        <v>0</v>
      </c>
      <c r="M8" s="773"/>
      <c r="N8" s="773"/>
      <c r="O8" s="773"/>
      <c r="P8" s="773"/>
      <c r="Q8" s="773"/>
      <c r="R8" s="773"/>
      <c r="S8" s="773"/>
      <c r="T8" s="773"/>
      <c r="U8" s="763" t="str">
        <f>Import.Apelido</f>
        <v>Pavimentação Eliseu Didonet</v>
      </c>
      <c r="V8" s="763"/>
      <c r="W8" s="763"/>
      <c r="X8" s="763"/>
      <c r="Y8" s="763"/>
      <c r="Z8" s="765" cm="1">
        <f t="array" ref="Z8">IF(TIPOORCAMENTO="Licitado",Import.empresa,Import.DescLote)</f>
        <v>0</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3</v>
      </c>
      <c r="G10" s="709"/>
      <c r="H10" s="215">
        <v>2</v>
      </c>
      <c r="K10" s="774"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2</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46023</v>
      </c>
      <c r="V13" s="222">
        <f ca="1">OFFSET(V13,0,-1)+41-DAY(OFFSET(V13,0,-1)+40)</f>
        <v>46054</v>
      </c>
      <c r="W13" s="222">
        <f ca="1">OFFSET(W13,0,-1)+41-DAY(OFFSET(W13,0,-1)+40)</f>
        <v>46082</v>
      </c>
      <c r="X13" s="222">
        <f t="shared" ref="X13:AF13" ca="1" si="1">OFFSET(X13,0,-1)+41-DAY(OFFSET(X13,0,-1)+40)</f>
        <v>46113</v>
      </c>
      <c r="Y13" s="222">
        <f t="shared" ca="1" si="1"/>
        <v>46143</v>
      </c>
      <c r="Z13" s="222">
        <f t="shared" ca="1" si="1"/>
        <v>46174</v>
      </c>
      <c r="AA13" s="222">
        <f t="shared" ca="1" si="1"/>
        <v>46204</v>
      </c>
      <c r="AB13" s="222">
        <f t="shared" ca="1" si="1"/>
        <v>46235</v>
      </c>
      <c r="AC13" s="222">
        <f t="shared" ca="1" si="1"/>
        <v>46266</v>
      </c>
      <c r="AD13" s="222">
        <f t="shared" ca="1" si="1"/>
        <v>46296</v>
      </c>
      <c r="AE13" s="222">
        <f t="shared" ca="1" si="1"/>
        <v>46327</v>
      </c>
      <c r="AF13" s="538">
        <f t="shared" ca="1" si="1"/>
        <v>46357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0.5</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Pavimentação em Paralelepípedos Eliseu Didonet</v>
      </c>
      <c r="K14" s="191"/>
      <c r="L14" s="191"/>
      <c r="M14" s="192">
        <f ca="1">IF($F15=0,OFFSET(ORÇAMENTO!C$15,$F14,0),1)</f>
        <v>1</v>
      </c>
      <c r="N14" s="193">
        <f ca="1">IF($F15=-1,0,IF(N$13&lt;=$M14,IF(ISERROR(MATCH(N$13,OFFSET($M14,1,0,ROW($M$164)-ROW($M14)-1),0)),ROW($M$164)-ROW($M14)-1,MATCH(N$13,OFFSET($M14,1,0,ROW($M$164)-ROW($M14)-1),0)-1),0))</f>
        <v>8</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8</v>
      </c>
      <c r="S14" s="194">
        <f ca="1">IF($F15=0,OFFSET(ORÇAMENTO!X$15,$F14,0),IF($F15&lt;&gt;-1,OFFSET(QCI!$O$13,$F15,0),""))</f>
        <v>131840.62</v>
      </c>
      <c r="T14" s="195" t="s">
        <v>785</v>
      </c>
      <c r="U14" s="188" cm="1">
        <f t="array" aca="1" ref="U14" ca="1">IF(AND($R14=2,ACOMPANHAMENTO="BM"),ROUND(U15,4),U16/$S14)</f>
        <v>0.5</v>
      </c>
      <c r="V14" s="188" cm="1">
        <f t="array" aca="1" ref="V14" ca="1">IF(AND($R14=2,ACOMPANHAMENTO="BM"),ROUND(V15,4),V16/$S14)</f>
        <v>0.5</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SUMIF(CÁLCULO!$AM$15:$AW$22,CRONO!E$12,CÁLCULO!$AB$15:$AL$22)/(ORÇAMENTO!$X$15-CÁLCULO.TotalAdmLocal)*CRONO!$F16,
                        0),
                 E15*$S14),
          SUMIF(OFFSET($S16,1,0,$R14-2),($M14+1)&amp;"$",OFFSET(E16,1,0,$R14-2)))</f>
        <v>65920.31</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SUMIF(CÁLCULO!$AM$15:$AW$22,CRONO!U$12,CÁLCULO!$AB$15:$AL$22)/(ORÇAMENTO!$X$15-CÁLCULO.TotalAdmLocal)*CRONO!$F16,
                        0),
                 U15*$S14),
          SUMIF(OFFSET($S16,1,0,$R14-2),($M14+1)&amp;"$",OFFSET(U16,1,0,$R14-2)))</f>
        <v>65920.31</v>
      </c>
      <c r="V16" s="202" cm="1">
        <f t="array" aca="1" ref="V16" ca="1">IF($R14=2,
         IF(AND(ACOMPANHAMENTO="PLE",ISNUMBER($F14)),
                SUMIF((OFFSET(CÁLCULO!$AM$15:$AW$15,$F14,0,OFFSET(ORÇAMENTO!$D$15,CRONO!$F14,0))),CRONO!V$12,OFFSET(CÁLCULO!$AB$15:$AL$15,$F14,0,OFFSET(ORÇAMENTO!$D$15,CRONO!$F14,0)))
                +IF(AND($F16&lt;&gt;"",$F16&lt;&gt;0),
                        SUMIF(CÁLCULO!$AM$15:$AW$22,CRONO!V$12,CÁLCULO!$AB$15:$AL$22)/(ORÇAMENTO!$X$15-CÁLCULO.TotalAdmLocal)*CRONO!$F16,
                        0),
                 V15*$S14),
          SUMIF(OFFSET($S16,1,0,$R14-2),($M14+1)&amp;"$",OFFSET(V16,1,0,$R14-2)))</f>
        <v>65920.31</v>
      </c>
      <c r="W16" s="202" cm="1">
        <f t="array" aca="1" ref="W16" ca="1">IF($R14=2,
         IF(AND(ACOMPANHAMENTO="PLE",ISNUMBER($F14)),
                SUMIF((OFFSET(CÁLCULO!$AM$15:$AW$15,$F14,0,OFFSET(ORÇAMENTO!$D$15,CRONO!$F14,0))),CRONO!W$12,OFFSET(CÁLCULO!$AB$15:$AL$15,$F14,0,OFFSET(ORÇAMENTO!$D$15,CRONO!$F14,0)))
                +IF(AND($F16&lt;&gt;"",$F16&lt;&gt;0),
                        SUMIF(CÁLCULO!$AM$15:$AW$22,CRONO!W$12,CÁLCULO!$AB$15:$AL$22)/(ORÇAMENTO!$X$15-CÁLCULO.TotalAdmLocal)*CRONO!$F16,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SUMIF(CÁLCULO!$AM$15:$AW$22,CRONO!X$12,CÁLCULO!$AB$15:$AL$22)/(ORÇAMENTO!$X$15-CÁLCULO.TotalAdmLocal)*CRONO!$F16,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SUMIF(CÁLCULO!$AM$15:$AW$22,CRONO!Y$12,CÁLCULO!$AB$15:$AL$22)/(ORÇAMENTO!$X$15-CÁLCULO.TotalAdmLocal)*CRONO!$F16,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SUMIF(CÁLCULO!$AM$15:$AW$22,CRONO!Z$12,CÁLCULO!$AB$15:$AL$22)/(ORÇAMENTO!$X$15-CÁLCULO.TotalAdmLocal)*CRONO!$F16,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SUMIF(CÁLCULO!$AM$15:$AW$22,CRONO!AA$12,CÁLCULO!$AB$15:$AL$22)/(ORÇAMENTO!$X$15-CÁLCULO.TotalAdmLocal)*CRONO!$F16,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SUMIF(CÁLCULO!$AM$15:$AW$22,CRONO!AB$12,CÁLCULO!$AB$15:$AL$22)/(ORÇAMENTO!$X$15-CÁLCULO.TotalAdmLocal)*CRONO!$F16,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SUMIF(CÁLCULO!$AM$15:$AW$22,CRONO!AC$12,CÁLCULO!$AB$15:$AL$22)/(ORÇAMENTO!$X$15-CÁLCULO.TotalAdmLocal)*CRONO!$F16,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SUMIF(CÁLCULO!$AM$15:$AW$22,CRONO!AD$12,CÁLCULO!$AB$15:$AL$22)/(ORÇAMENTO!$X$15-CÁLCULO.TotalAdmLocal)*CRONO!$F16,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SUMIF(CÁLCULO!$AM$15:$AW$22,CRONO!AE$12,CÁLCULO!$AB$15:$AL$22)/(ORÇAMENTO!$X$15-CÁLCULO.TotalAdmLocal)*CRONO!$F16,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SUMIF(CÁLCULO!$AM$15:$AW$22,CRONO!AF$12,CÁLCULO!$AB$15:$AL$22)/(ORÇAMENTO!$X$15-CÁLCULO.TotalAdmLocal)*CRONO!$F16,
                        0),
                 AF15*$S14),
          SUMIF(OFFSET($S16,1,0,$R14-2),($M14+1)&amp;"$",OFFSET(AF16,1,0,$R14-2)))</f>
        <v>0</v>
      </c>
      <c r="AG16" s="534"/>
    </row>
    <row r="17" spans="1:33" x14ac:dyDescent="0.2">
      <c r="A17" s="186" t="str">
        <f t="shared" ref="A17" ca="1" si="8">IF($M17&gt;1,_xlfn.CONCAT($I17," ",$J17),"")</f>
        <v>1.1. Administração Local</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0.5</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Local</v>
      </c>
      <c r="K17" s="191"/>
      <c r="L17" s="191"/>
      <c r="M17" s="192">
        <f ca="1">IF($F18=0,OFFSET(ORÇAMENTO!C$15,$F17,0),1)</f>
        <v>2</v>
      </c>
      <c r="N17" s="193">
        <f ca="1">IF($F18=-1,0,IF(N$13&lt;=$M17,IF(ISERROR(MATCH(N$13,OFFSET($M17,1,0,ROW($M$164)-ROW($M17)-1),0)),ROW($M$164)-ROW($M17)-1,MATCH(N$13,OFFSET($M17,1,0,ROW($M$164)-ROW($M17)-1),0)-1),0))</f>
        <v>5</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1664.9</v>
      </c>
      <c r="T17" s="195" t="s">
        <v>785</v>
      </c>
      <c r="U17" s="188" cm="1">
        <f t="array" aca="1" ref="U17" ca="1">IF(AND($R17=2,ACOMPANHAMENTO="BM"),ROUND(U18,4),U19/$S17)</f>
        <v>0.5</v>
      </c>
      <c r="V17" s="188" cm="1">
        <f t="array" aca="1" ref="V17" ca="1">IF(AND($R17=2,ACOMPANHAMENTO="BM"),ROUND(V18,4),V19/$S17)</f>
        <v>0.5</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SUMIF(CÁLCULO!$AM$15:$AW$22,CRONO!E$12,CÁLCULO!$AB$15:$AL$22)/(ORÇAMENTO!$X$15-CÁLCULO.TotalAdmLocal)*CRONO!$F19,
                        0),
                 E18*$S17),
          SUMIF(OFFSET($S19,1,0,$R17-2),($M17+1)&amp;"$",OFFSET(E19,1,0,$R17-2)))</f>
        <v>832.45</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SUMIF(CÁLCULO!$AM$15:$AW$22,CRONO!U$12,CÁLCULO!$AB$15:$AL$22)/(ORÇAMENTO!$X$15-CÁLCULO.TotalAdmLocal)*CRONO!$F19,
                        0),
                 U18*$S17),
          SUMIF(OFFSET($S19,1,0,$R17-2),($M17+1)&amp;"$",OFFSET(U19,1,0,$R17-2)))</f>
        <v>832.45</v>
      </c>
      <c r="V19" s="202" cm="1">
        <f t="array" aca="1" ref="V19" ca="1">IF($R17=2,
         IF(AND(ACOMPANHAMENTO="PLE",ISNUMBER($F17)),
                SUMIF((OFFSET(CÁLCULO!$AM$15:$AW$15,$F17,0,OFFSET(ORÇAMENTO!$D$15,CRONO!$F17,0))),CRONO!V$12,OFFSET(CÁLCULO!$AB$15:$AL$15,$F17,0,OFFSET(ORÇAMENTO!$D$15,CRONO!$F17,0)))
                +IF(AND($F19&lt;&gt;"",$F19&lt;&gt;0),
                        SUMIF(CÁLCULO!$AM$15:$AW$22,CRONO!V$12,CÁLCULO!$AB$15:$AL$22)/(ORÇAMENTO!$X$15-CÁLCULO.TotalAdmLocal)*CRONO!$F19,
                        0),
                 V18*$S17),
          SUMIF(OFFSET($S19,1,0,$R17-2),($M17+1)&amp;"$",OFFSET(V19,1,0,$R17-2)))</f>
        <v>832.45</v>
      </c>
      <c r="W19" s="202" cm="1">
        <f t="array" aca="1" ref="W19" ca="1">IF($R17=2,
         IF(AND(ACOMPANHAMENTO="PLE",ISNUMBER($F17)),
                SUMIF((OFFSET(CÁLCULO!$AM$15:$AW$15,$F17,0,OFFSET(ORÇAMENTO!$D$15,CRONO!$F17,0))),CRONO!W$12,OFFSET(CÁLCULO!$AB$15:$AL$15,$F17,0,OFFSET(ORÇAMENTO!$D$15,CRONO!$F17,0)))
                +IF(AND($F19&lt;&gt;"",$F19&lt;&gt;0),
                        SUMIF(CÁLCULO!$AM$15:$AW$22,CRONO!W$12,CÁLCULO!$AB$15:$AL$22)/(ORÇAMENTO!$X$15-CÁLCULO.TotalAdmLocal)*CRONO!$F19,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SUMIF(CÁLCULO!$AM$15:$AW$22,CRONO!X$12,CÁLCULO!$AB$15:$AL$22)/(ORÇAMENTO!$X$15-CÁLCULO.TotalAdmLocal)*CRONO!$F19,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SUMIF(CÁLCULO!$AM$15:$AW$22,CRONO!Y$12,CÁLCULO!$AB$15:$AL$22)/(ORÇAMENTO!$X$15-CÁLCULO.TotalAdmLocal)*CRONO!$F19,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SUMIF(CÁLCULO!$AM$15:$AW$22,CRONO!Z$12,CÁLCULO!$AB$15:$AL$22)/(ORÇAMENTO!$X$15-CÁLCULO.TotalAdmLocal)*CRONO!$F19,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SUMIF(CÁLCULO!$AM$15:$AW$22,CRONO!AA$12,CÁLCULO!$AB$15:$AL$22)/(ORÇAMENTO!$X$15-CÁLCULO.TotalAdmLocal)*CRONO!$F19,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SUMIF(CÁLCULO!$AM$15:$AW$22,CRONO!AB$12,CÁLCULO!$AB$15:$AL$22)/(ORÇAMENTO!$X$15-CÁLCULO.TotalAdmLocal)*CRONO!$F19,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SUMIF(CÁLCULO!$AM$15:$AW$22,CRONO!AC$12,CÁLCULO!$AB$15:$AL$22)/(ORÇAMENTO!$X$15-CÁLCULO.TotalAdmLocal)*CRONO!$F19,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SUMIF(CÁLCULO!$AM$15:$AW$22,CRONO!AD$12,CÁLCULO!$AB$15:$AL$22)/(ORÇAMENTO!$X$15-CÁLCULO.TotalAdmLocal)*CRONO!$F19,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SUMIF(CÁLCULO!$AM$15:$AW$22,CRONO!AE$12,CÁLCULO!$AB$15:$AL$22)/(ORÇAMENTO!$X$15-CÁLCULO.TotalAdmLocal)*CRONO!$F19,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SUMIF(CÁLCULO!$AM$15:$AW$22,CRONO!AF$12,CÁLCULO!$AB$15:$AL$22)/(ORÇAMENTO!$X$15-CÁLCULO.TotalAdmLocal)*CRONO!$F19,
                        0),
                 AF18*$S17),
          SUMIF(OFFSET($S19,1,0,$R17-2),($M17+1)&amp;"$",OFFSET(AF19,1,0,$R17-2)))</f>
        <v>0</v>
      </c>
      <c r="AG19" s="534"/>
    </row>
    <row r="20" spans="1:33" x14ac:dyDescent="0.2">
      <c r="A20" s="186" t="str">
        <f t="shared" ref="A20" ca="1" si="14">IF($M20&gt;1,_xlfn.CONCAT($I20," ",$J20),"")</f>
        <v xml:space="preserve">1.2. Pavimentação </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0.5</v>
      </c>
      <c r="F20" s="185" cm="1">
        <f t="array" aca="1" ref="F20" ca="1">IF(B20&lt;=ORÇAMENTO.MáximoListaCrono,MATCH(B20,ORÇAMENTO.ListaCrono,0),NA())</f>
        <v>4</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 xml:space="preserve">Pavimentação </v>
      </c>
      <c r="K20" s="191"/>
      <c r="L20" s="191"/>
      <c r="M20" s="192">
        <f ca="1">IF($F21=0,OFFSET(ORÇAMENTO!C$15,$F20,0),1)</f>
        <v>2</v>
      </c>
      <c r="N20" s="193">
        <f ca="1">IF($F21=-1,0,IF(N$13&lt;=$M20,IF(ISERROR(MATCH(N$13,OFFSET($M20,1,0,ROW($M$164)-ROW($M20)-1),0)),ROW($M$164)-ROW($M20)-1,MATCH(N$13,OFFSET($M20,1,0,ROW($M$164)-ROW($M20)-1),0)-1),0))</f>
        <v>2</v>
      </c>
      <c r="O20" s="193">
        <f ca="1">IF($F21=-1,0,IF(O$13&lt;=$M20,IF(ISERROR(MATCH(O$13,OFFSET($M20,1,0,ROW($M$164)-ROW($M20)-1),0)),ROW($M$164)-ROW($M20)-1,MATCH(O$13,OFFSET($M20,1,0,ROW($M$164)-ROW($M20)-1),0)-1),0))</f>
        <v>143</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130175.72</v>
      </c>
      <c r="T20" s="195" t="s">
        <v>785</v>
      </c>
      <c r="U20" s="188" cm="1">
        <f t="array" aca="1" ref="U20" ca="1">IF(AND($R20=2,ACOMPANHAMENTO="BM"),ROUND(U21,4),U22/$S20)</f>
        <v>0.5</v>
      </c>
      <c r="V20" s="188" cm="1">
        <f t="array" aca="1" ref="V20" ca="1">IF(AND($R20=2,ACOMPANHAMENTO="BM"),ROUND(V21,4),V22/$S20)</f>
        <v>0.5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SUMIF(CÁLCULO!$AM$15:$AW$22,CRONO!E$12,CÁLCULO!$AB$15:$AL$22)/(ORÇAMENTO!$X$15-CÁLCULO.TotalAdmLocal)*CRONO!$F22,
                        0),
                 E21*$S20),
          SUMIF(OFFSET($S22,1,0,$R20-2),($M20+1)&amp;"$",OFFSET(E22,1,0,$R20-2)))</f>
        <v>65087.86</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SUMIF(CÁLCULO!$AM$15:$AW$22,CRONO!U$12,CÁLCULO!$AB$15:$AL$22)/(ORÇAMENTO!$X$15-CÁLCULO.TotalAdmLocal)*CRONO!$F22,
                        0),
                 U21*$S20),
          SUMIF(OFFSET($S22,1,0,$R20-2),($M20+1)&amp;"$",OFFSET(U22,1,0,$R20-2)))</f>
        <v>65087.86</v>
      </c>
      <c r="V22" s="202" cm="1">
        <f t="array" aca="1" ref="V22" ca="1">IF($R20=2,
         IF(AND(ACOMPANHAMENTO="PLE",ISNUMBER($F20)),
                SUMIF((OFFSET(CÁLCULO!$AM$15:$AW$15,$F20,0,OFFSET(ORÇAMENTO!$D$15,CRONO!$F20,0))),CRONO!V$12,OFFSET(CÁLCULO!$AB$15:$AL$15,$F20,0,OFFSET(ORÇAMENTO!$D$15,CRONO!$F20,0)))
                +IF(AND($F22&lt;&gt;"",$F22&lt;&gt;0),
                        SUMIF(CÁLCULO!$AM$15:$AW$22,CRONO!V$12,CÁLCULO!$AB$15:$AL$22)/(ORÇAMENTO!$X$15-CÁLCULO.TotalAdmLocal)*CRONO!$F22,
                        0),
                 V21*$S20),
          SUMIF(OFFSET($S22,1,0,$R20-2),($M20+1)&amp;"$",OFFSET(V22,1,0,$R20-2)))</f>
        <v>65087.86</v>
      </c>
      <c r="W22" s="202" cm="1">
        <f t="array" aca="1" ref="W22" ca="1">IF($R20=2,
         IF(AND(ACOMPANHAMENTO="PLE",ISNUMBER($F20)),
                SUMIF((OFFSET(CÁLCULO!$AM$15:$AW$15,$F20,0,OFFSET(ORÇAMENTO!$D$15,CRONO!$F20,0))),CRONO!W$12,OFFSET(CÁLCULO!$AB$15:$AL$15,$F20,0,OFFSET(ORÇAMENTO!$D$15,CRONO!$F20,0)))
                +IF(AND($F22&lt;&gt;"",$F22&lt;&gt;0),
                        SUMIF(CÁLCULO!$AM$15:$AW$22,CRONO!W$12,CÁLCULO!$AB$15:$AL$22)/(ORÇAMENTO!$X$15-CÁLCULO.TotalAdmLocal)*CRONO!$F22,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SUMIF(CÁLCULO!$AM$15:$AW$22,CRONO!X$12,CÁLCULO!$AB$15:$AL$22)/(ORÇAMENTO!$X$15-CÁLCULO.TotalAdmLocal)*CRONO!$F22,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SUMIF(CÁLCULO!$AM$15:$AW$22,CRONO!Y$12,CÁLCULO!$AB$15:$AL$22)/(ORÇAMENTO!$X$15-CÁLCULO.TotalAdmLocal)*CRONO!$F22,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SUMIF(CÁLCULO!$AM$15:$AW$22,CRONO!Z$12,CÁLCULO!$AB$15:$AL$22)/(ORÇAMENTO!$X$15-CÁLCULO.TotalAdmLocal)*CRONO!$F22,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SUMIF(CÁLCULO!$AM$15:$AW$22,CRONO!AA$12,CÁLCULO!$AB$15:$AL$22)/(ORÇAMENTO!$X$15-CÁLCULO.TotalAdmLocal)*CRONO!$F22,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SUMIF(CÁLCULO!$AM$15:$AW$22,CRONO!AB$12,CÁLCULO!$AB$15:$AL$22)/(ORÇAMENTO!$X$15-CÁLCULO.TotalAdmLocal)*CRONO!$F22,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SUMIF(CÁLCULO!$AM$15:$AW$22,CRONO!AC$12,CÁLCULO!$AB$15:$AL$22)/(ORÇAMENTO!$X$15-CÁLCULO.TotalAdmLocal)*CRONO!$F22,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SUMIF(CÁLCULO!$AM$15:$AW$22,CRONO!AD$12,CÁLCULO!$AB$15:$AL$22)/(ORÇAMENTO!$X$15-CÁLCULO.TotalAdmLocal)*CRONO!$F22,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SUMIF(CÁLCULO!$AM$15:$AW$22,CRONO!AE$12,CÁLCULO!$AB$15:$AL$22)/(ORÇAMENTO!$X$15-CÁLCULO.TotalAdmLocal)*CRONO!$F22,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SUMIF(CÁLCULO!$AM$15:$AW$22,CRONO!AF$12,CÁLCULO!$AB$15:$AL$22)/(ORÇAMENTO!$X$15-CÁLCULO.TotalAdmLocal)*CRONO!$F22,
                        0),
                 AF21*$S20),
          SUMIF(OFFSET($S22,1,0,$R20-2),($M20+1)&amp;"$",OFFSET(AF22,1,0,$R20-2)))</f>
        <v>0</v>
      </c>
      <c r="AG22" s="534"/>
    </row>
    <row r="23" spans="1:33" x14ac:dyDescent="0.2">
      <c r="A23" s="186" t="str">
        <f t="shared" ref="A23" ca="1" si="20">IF($M23&gt;1,_xlfn.CONCAT($I23," ",$J23),"")</f>
        <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t="e" cm="1">
        <f t="array" aca="1" ref="E23" ca="1">IF(AND($R23=2,ACOMPANHAMENTO="BM"),ROUND(E24,4),E25/$S23)</f>
        <v>#DIV/0!</v>
      </c>
      <c r="F23" s="185" t="e" cm="1">
        <f t="array" aca="1" ref="F23" ca="1">IF(B23&lt;=ORÇAMENTO.MáximoListaCrono,MATCH(B23,ORÇAMENTO.ListaCrono,0),NA())</f>
        <v>#N/A</v>
      </c>
      <c r="G23" s="185" t="str">
        <f t="shared" ref="G23" ca="1" si="22">IF(AND($F24&lt;&gt;-1,$S23&gt;0),"F","")</f>
        <v/>
      </c>
      <c r="H23" s="189" t="str" cm="1">
        <f t="array" aca="1" ref="H23" ca="1">IF(OR(S23=0,S23=""),"Linha",IF(AND(OR(ACOMPANHAMENTO="PLE",$R23&lt;&gt;2),$F24=0),"Linha",ROUND(1-SUM(U23:AG23),4)))</f>
        <v>Linha</v>
      </c>
      <c r="I23" s="190">
        <f ca="1">IF($F24=0,OFFSET(ORÇAMENTO!O$15,$F23,0),IF($F24&lt;&gt;-1,OFFSET(QCI!$D$13,$F24,0),""))</f>
        <v>2</v>
      </c>
      <c r="J23" s="191" t="str">
        <f ca="1">IF($F24=0,OFFSET(ORÇAMENTO!R$15,$F23,0),IF($F24&lt;&gt;-1,OFFSET(QCI!$G$13,$F24,0),""))</f>
        <v/>
      </c>
      <c r="K23" s="191"/>
      <c r="L23" s="191"/>
      <c r="M23" s="192">
        <f ca="1">IF($F24=0,OFFSET(ORÇAMENTO!C$15,$F23,0),1)</f>
        <v>1</v>
      </c>
      <c r="N23" s="193">
        <f ca="1">IF($F24=-1,0,IF(N$13&lt;=$M23,IF(ISERROR(MATCH(N$13,OFFSET($M23,1,0,ROW($M$164)-ROW($M23)-1),0)),ROW($M$164)-ROW($M23)-1,MATCH(N$13,OFFSET($M23,1,0,ROW($M$164)-ROW($M23)-1),0)-1),0))</f>
        <v>2</v>
      </c>
      <c r="O23" s="193">
        <f ca="1">IF($F24=-1,0,IF(O$13&lt;=$M23,IF(ISERROR(MATCH(O$13,OFFSET($M23,1,0,ROW($M$164)-ROW($M23)-1),0)),ROW($M$164)-ROW($M23)-1,MATCH(O$13,OFFSET($M23,1,0,ROW($M$164)-ROW($M23)-1),0)-1),0))</f>
        <v>0</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customHeight="1" x14ac:dyDescent="0.2">
      <c r="E24" s="587"/>
      <c r="F24" s="185">
        <f ca="1">IF(ISERROR(F23),IF(1+COUNTIF($M$13:OFFSET(M23,-1,0),1)&lt;=MAX(QCI!$D$13:$D$24),1+COUNTIF($M$13:OFFSET(M23,-1,0),1),-1),0)</f>
        <v>2</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SUMIF(CÁLCULO!$AM$15:$AW$22,CRONO!E$12,CÁLCULO!$AB$15:$AL$22)/(ORÇAMENTO!$X$15-CÁLCULO.TotalAdmLocal)*CRONO!$F25,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1$</v>
      </c>
      <c r="T25" s="205"/>
      <c r="U25" s="202" cm="1">
        <f t="array" aca="1" ref="U25" ca="1">IF($R23=2,
         IF(AND(ACOMPANHAMENTO="PLE",ISNUMBER($F23)),
                SUMIF((OFFSET(CÁLCULO!$AM$15:$AW$15,$F23,0,OFFSET(ORÇAMENTO!$D$15,CRONO!$F23,0))),CRONO!U$12,OFFSET(CÁLCULO!$AB$15:$AL$15,$F23,0,OFFSET(ORÇAMENTO!$D$15,CRONO!$F23,0)))
                +IF(AND($F25&lt;&gt;"",$F25&lt;&gt;0),
                        SUMIF(CÁLCULO!$AM$15:$AW$22,CRONO!U$12,CÁLCULO!$AB$15:$AL$22)/(ORÇAMENTO!$X$15-CÁLCULO.TotalAdmLocal)*CRONO!$F25,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SUMIF(CÁLCULO!$AM$15:$AW$22,CRONO!V$12,CÁLCULO!$AB$15:$AL$22)/(ORÇAMENTO!$X$15-CÁLCULO.TotalAdmLocal)*CRONO!$F25,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SUMIF(CÁLCULO!$AM$15:$AW$22,CRONO!W$12,CÁLCULO!$AB$15:$AL$22)/(ORÇAMENTO!$X$15-CÁLCULO.TotalAdmLocal)*CRONO!$F25,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SUMIF(CÁLCULO!$AM$15:$AW$22,CRONO!X$12,CÁLCULO!$AB$15:$AL$22)/(ORÇAMENTO!$X$15-CÁLCULO.TotalAdmLocal)*CRONO!$F25,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SUMIF(CÁLCULO!$AM$15:$AW$22,CRONO!Y$12,CÁLCULO!$AB$15:$AL$22)/(ORÇAMENTO!$X$15-CÁLCULO.TotalAdmLocal)*CRONO!$F25,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SUMIF(CÁLCULO!$AM$15:$AW$22,CRONO!Z$12,CÁLCULO!$AB$15:$AL$22)/(ORÇAMENTO!$X$15-CÁLCULO.TotalAdmLocal)*CRONO!$F25,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SUMIF(CÁLCULO!$AM$15:$AW$22,CRONO!AA$12,CÁLCULO!$AB$15:$AL$22)/(ORÇAMENTO!$X$15-CÁLCULO.TotalAdmLocal)*CRONO!$F25,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SUMIF(CÁLCULO!$AM$15:$AW$22,CRONO!AB$12,CÁLCULO!$AB$15:$AL$22)/(ORÇAMENTO!$X$15-CÁLCULO.TotalAdmLocal)*CRONO!$F25,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SUMIF(CÁLCULO!$AM$15:$AW$22,CRONO!AC$12,CÁLCULO!$AB$15:$AL$22)/(ORÇAMENTO!$X$15-CÁLCULO.TotalAdmLocal)*CRONO!$F25,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SUMIF(CÁLCULO!$AM$15:$AW$22,CRONO!AD$12,CÁLCULO!$AB$15:$AL$22)/(ORÇAMENTO!$X$15-CÁLCULO.TotalAdmLocal)*CRONO!$F25,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SUMIF(CÁLCULO!$AM$15:$AW$22,CRONO!AE$12,CÁLCULO!$AB$15:$AL$22)/(ORÇAMENTO!$X$15-CÁLCULO.TotalAdmLocal)*CRONO!$F25,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SUMIF(CÁLCULO!$AM$15:$AW$22,CRONO!AF$12,CÁLCULO!$AB$15:$AL$22)/(ORÇAMENTO!$X$15-CÁLCULO.TotalAdmLocal)*CRONO!$F25,
                        0),
                 AF24*$S23),
          SUMIF(OFFSET($S25,1,0,$R23-2),($M23+1)&amp;"$",OFFSET(AF25,1,0,$R23-2)))</f>
        <v>0</v>
      </c>
      <c r="AG25" s="534"/>
    </row>
    <row r="26" spans="1:33" x14ac:dyDescent="0.2">
      <c r="A26" s="186" t="str">
        <f t="shared" ref="A26" ca="1" si="26">IF($M26&gt;1,_xlfn.CONCAT($I26," ",$J26),"")</f>
        <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t="e" cm="1">
        <f t="array" aca="1" ref="F26" ca="1">IF(B26&lt;=ORÇAMENTO.MáximoListaCrono,MATCH(B26,ORÇAMENTO.ListaCrono,0),NA())</f>
        <v>#N/A</v>
      </c>
      <c r="G26" s="185" t="str">
        <f t="shared" ref="G26" ca="1" si="28">IF(AND($F27&lt;&gt;-1,$S26&gt;0),"F","")</f>
        <v/>
      </c>
      <c r="H26" s="189" t="str" cm="1">
        <f t="array" aca="1" ref="H26" ca="1">IF(OR(S26=0,S26=""),"Linha",IF(AND(OR(ACOMPANHAMENTO="PLE",$R26&lt;&gt;2),$F27=0),"Linha",ROUND(1-SUM(U26:AG26),4)))</f>
        <v>Linha</v>
      </c>
      <c r="I26" s="190">
        <f ca="1">IF($F27=0,OFFSET(ORÇAMENTO!O$15,$F26,0),IF($F27&lt;&gt;-1,OFFSET(QCI!$D$13,$F27,0),""))</f>
        <v>3</v>
      </c>
      <c r="J26" s="191" t="str">
        <f ca="1">IF($F27=0,OFFSET(ORÇAMENTO!R$15,$F26,0),IF($F27&lt;&gt;-1,OFFSET(QCI!$G$13,$F27,0),""))</f>
        <v/>
      </c>
      <c r="K26" s="191"/>
      <c r="L26" s="191"/>
      <c r="M26" s="192">
        <f ca="1">IF($F27=0,OFFSET(ORÇAMENTO!C$15,$F26,0),1)</f>
        <v>1</v>
      </c>
      <c r="N26" s="193">
        <f ca="1">IF($F27=-1,0,IF(N$13&lt;=$M26,IF(ISERROR(MATCH(N$13,OFFSET($M26,1,0,ROW($M$164)-ROW($M26)-1),0)),ROW($M$164)-ROW($M26)-1,MATCH(N$13,OFFSET($M26,1,0,ROW($M$164)-ROW($M26)-1),0)-1),0))</f>
        <v>2</v>
      </c>
      <c r="O26" s="193">
        <f ca="1">IF($F27=-1,0,IF(O$13&lt;=$M26,IF(ISERROR(MATCH(O$13,OFFSET($M26,1,0,ROW($M$164)-ROW($M26)-1),0)),ROW($M$164)-ROW($M26)-1,MATCH(O$13,OFFSET($M26,1,0,ROW($M$164)-ROW($M26)-1),0)-1),0))</f>
        <v>0</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customHeight="1" x14ac:dyDescent="0.2">
      <c r="E27" s="587"/>
      <c r="F27" s="185">
        <f ca="1">IF(ISERROR(F26),IF(1+COUNTIF($M$13:OFFSET(M26,-1,0),1)&lt;=MAX(QCI!$D$13:$D$24),1+COUNTIF($M$13:OFFSET(M26,-1,0),1),-1),0)</f>
        <v>3</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SUMIF(CÁLCULO!$AM$15:$AW$22,CRONO!E$12,CÁLCULO!$AB$15:$AL$22)/(ORÇAMENTO!$X$15-CÁLCULO.TotalAdmLocal)*CRONO!$F28,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1$</v>
      </c>
      <c r="T28" s="205"/>
      <c r="U28" s="202" cm="1">
        <f t="array" aca="1" ref="U28" ca="1">IF($R26=2,
         IF(AND(ACOMPANHAMENTO="PLE",ISNUMBER($F26)),
                SUMIF((OFFSET(CÁLCULO!$AM$15:$AW$15,$F26,0,OFFSET(ORÇAMENTO!$D$15,CRONO!$F26,0))),CRONO!U$12,OFFSET(CÁLCULO!$AB$15:$AL$15,$F26,0,OFFSET(ORÇAMENTO!$D$15,CRONO!$F26,0)))
                +IF(AND($F28&lt;&gt;"",$F28&lt;&gt;0),
                        SUMIF(CÁLCULO!$AM$15:$AW$22,CRONO!U$12,CÁLCULO!$AB$15:$AL$22)/(ORÇAMENTO!$X$15-CÁLCULO.TotalAdmLocal)*CRONO!$F28,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SUMIF(CÁLCULO!$AM$15:$AW$22,CRONO!V$12,CÁLCULO!$AB$15:$AL$22)/(ORÇAMENTO!$X$15-CÁLCULO.TotalAdmLocal)*CRONO!$F28,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SUMIF(CÁLCULO!$AM$15:$AW$22,CRONO!W$12,CÁLCULO!$AB$15:$AL$22)/(ORÇAMENTO!$X$15-CÁLCULO.TotalAdmLocal)*CRONO!$F28,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SUMIF(CÁLCULO!$AM$15:$AW$22,CRONO!X$12,CÁLCULO!$AB$15:$AL$22)/(ORÇAMENTO!$X$15-CÁLCULO.TotalAdmLocal)*CRONO!$F28,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SUMIF(CÁLCULO!$AM$15:$AW$22,CRONO!Y$12,CÁLCULO!$AB$15:$AL$22)/(ORÇAMENTO!$X$15-CÁLCULO.TotalAdmLocal)*CRONO!$F28,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SUMIF(CÁLCULO!$AM$15:$AW$22,CRONO!Z$12,CÁLCULO!$AB$15:$AL$22)/(ORÇAMENTO!$X$15-CÁLCULO.TotalAdmLocal)*CRONO!$F28,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SUMIF(CÁLCULO!$AM$15:$AW$22,CRONO!AA$12,CÁLCULO!$AB$15:$AL$22)/(ORÇAMENTO!$X$15-CÁLCULO.TotalAdmLocal)*CRONO!$F28,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SUMIF(CÁLCULO!$AM$15:$AW$22,CRONO!AB$12,CÁLCULO!$AB$15:$AL$22)/(ORÇAMENTO!$X$15-CÁLCULO.TotalAdmLocal)*CRONO!$F28,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SUMIF(CÁLCULO!$AM$15:$AW$22,CRONO!AC$12,CÁLCULO!$AB$15:$AL$22)/(ORÇAMENTO!$X$15-CÁLCULO.TotalAdmLocal)*CRONO!$F28,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SUMIF(CÁLCULO!$AM$15:$AW$22,CRONO!AD$12,CÁLCULO!$AB$15:$AL$22)/(ORÇAMENTO!$X$15-CÁLCULO.TotalAdmLocal)*CRONO!$F28,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SUMIF(CÁLCULO!$AM$15:$AW$22,CRONO!AE$12,CÁLCULO!$AB$15:$AL$22)/(ORÇAMENTO!$X$15-CÁLCULO.TotalAdmLocal)*CRONO!$F28,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SUMIF(CÁLCULO!$AM$15:$AW$22,CRONO!AF$12,CÁLCULO!$AB$15:$AL$22)/(ORÇAMENTO!$X$15-CÁLCULO.TotalAdmLocal)*CRONO!$F28,
                        0),
                 AF27*$S26),
          SUMIF(OFFSET($S28,1,0,$R26-2),($M26+1)&amp;"$",OFFSET(AF28,1,0,$R26-2)))</f>
        <v>0</v>
      </c>
      <c r="AG28" s="534"/>
    </row>
    <row r="29" spans="1:33" x14ac:dyDescent="0.2">
      <c r="A29" s="186" t="str">
        <f t="shared" ref="A29" ca="1" si="32">IF($M29&gt;1,_xlfn.CONCAT($I29," ",$J29),"")</f>
        <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t="e" cm="1">
        <f t="array" aca="1" ref="F29" ca="1">IF(B29&lt;=ORÇAMENTO.MáximoListaCrono,MATCH(B29,ORÇAMENTO.ListaCrono,0),NA())</f>
        <v>#N/A</v>
      </c>
      <c r="G29" s="185" t="str">
        <f t="shared" ref="G29" ca="1" si="34">IF(AND($F30&lt;&gt;-1,$S29&gt;0),"F","")</f>
        <v/>
      </c>
      <c r="H29" s="189" t="str" cm="1">
        <f t="array" aca="1" ref="H29" ca="1">IF(OR(S29=0,S29=""),"Linha",IF(AND(OR(ACOMPANHAMENTO="PLE",$R29&lt;&gt;2),$F30=0),"Linha",ROUND(1-SUM(U29:AG29),4)))</f>
        <v>Linha</v>
      </c>
      <c r="I29" s="190">
        <f ca="1">IF($F30=0,OFFSET(ORÇAMENTO!O$15,$F29,0),IF($F30&lt;&gt;-1,OFFSET(QCI!$D$13,$F30,0),""))</f>
        <v>4</v>
      </c>
      <c r="J29" s="191" t="str">
        <f ca="1">IF($F30=0,OFFSET(ORÇAMENTO!R$15,$F29,0),IF($F30&lt;&gt;-1,OFFSET(QCI!$G$13,$F30,0),""))</f>
        <v/>
      </c>
      <c r="K29" s="191"/>
      <c r="L29" s="191"/>
      <c r="M29" s="192">
        <f ca="1">IF($F30=0,OFFSET(ORÇAMENTO!C$15,$F29,0),1)</f>
        <v>1</v>
      </c>
      <c r="N29" s="193">
        <f ca="1">IF($F30=-1,0,IF(N$13&lt;=$M29,IF(ISERROR(MATCH(N$13,OFFSET($M29,1,0,ROW($M$164)-ROW($M29)-1),0)),ROW($M$164)-ROW($M29)-1,MATCH(N$13,OFFSET($M29,1,0,ROW($M$164)-ROW($M29)-1),0)-1),0))</f>
        <v>2</v>
      </c>
      <c r="O29" s="193">
        <f ca="1">IF($F30=-1,0,IF(O$13&lt;=$M29,IF(ISERROR(MATCH(O$13,OFFSET($M29,1,0,ROW($M$164)-ROW($M29)-1),0)),ROW($M$164)-ROW($M29)-1,MATCH(O$13,OFFSET($M29,1,0,ROW($M$164)-ROW($M29)-1),0)-1),0))</f>
        <v>0</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customHeight="1" x14ac:dyDescent="0.2">
      <c r="E30" s="587"/>
      <c r="F30" s="185">
        <f ca="1">IF(ISERROR(F29),IF(1+COUNTIF($M$13:OFFSET(M29,-1,0),1)&lt;=MAX(QCI!$D$13:$D$24),1+COUNTIF($M$13:OFFSET(M29,-1,0),1),-1),0)</f>
        <v>4</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SUMIF(CÁLCULO!$AM$15:$AW$22,CRONO!E$12,CÁLCULO!$AB$15:$AL$22)/(ORÇAMENTO!$X$15-CÁLCULO.TotalAdmLocal)*CRONO!$F31,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1$</v>
      </c>
      <c r="T31" s="205"/>
      <c r="U31" s="202" cm="1">
        <f t="array" aca="1" ref="U31" ca="1">IF($R29=2,
         IF(AND(ACOMPANHAMENTO="PLE",ISNUMBER($F29)),
                SUMIF((OFFSET(CÁLCULO!$AM$15:$AW$15,$F29,0,OFFSET(ORÇAMENTO!$D$15,CRONO!$F29,0))),CRONO!U$12,OFFSET(CÁLCULO!$AB$15:$AL$15,$F29,0,OFFSET(ORÇAMENTO!$D$15,CRONO!$F29,0)))
                +IF(AND($F31&lt;&gt;"",$F31&lt;&gt;0),
                        SUMIF(CÁLCULO!$AM$15:$AW$22,CRONO!U$12,CÁLCULO!$AB$15:$AL$22)/(ORÇAMENTO!$X$15-CÁLCULO.TotalAdmLocal)*CRONO!$F31,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SUMIF(CÁLCULO!$AM$15:$AW$22,CRONO!V$12,CÁLCULO!$AB$15:$AL$22)/(ORÇAMENTO!$X$15-CÁLCULO.TotalAdmLocal)*CRONO!$F31,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SUMIF(CÁLCULO!$AM$15:$AW$22,CRONO!W$12,CÁLCULO!$AB$15:$AL$22)/(ORÇAMENTO!$X$15-CÁLCULO.TotalAdmLocal)*CRONO!$F31,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SUMIF(CÁLCULO!$AM$15:$AW$22,CRONO!X$12,CÁLCULO!$AB$15:$AL$22)/(ORÇAMENTO!$X$15-CÁLCULO.TotalAdmLocal)*CRONO!$F31,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SUMIF(CÁLCULO!$AM$15:$AW$22,CRONO!Y$12,CÁLCULO!$AB$15:$AL$22)/(ORÇAMENTO!$X$15-CÁLCULO.TotalAdmLocal)*CRONO!$F31,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SUMIF(CÁLCULO!$AM$15:$AW$22,CRONO!Z$12,CÁLCULO!$AB$15:$AL$22)/(ORÇAMENTO!$X$15-CÁLCULO.TotalAdmLocal)*CRONO!$F31,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SUMIF(CÁLCULO!$AM$15:$AW$22,CRONO!AA$12,CÁLCULO!$AB$15:$AL$22)/(ORÇAMENTO!$X$15-CÁLCULO.TotalAdmLocal)*CRONO!$F31,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SUMIF(CÁLCULO!$AM$15:$AW$22,CRONO!AB$12,CÁLCULO!$AB$15:$AL$22)/(ORÇAMENTO!$X$15-CÁLCULO.TotalAdmLocal)*CRONO!$F31,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SUMIF(CÁLCULO!$AM$15:$AW$22,CRONO!AC$12,CÁLCULO!$AB$15:$AL$22)/(ORÇAMENTO!$X$15-CÁLCULO.TotalAdmLocal)*CRONO!$F31,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SUMIF(CÁLCULO!$AM$15:$AW$22,CRONO!AD$12,CÁLCULO!$AB$15:$AL$22)/(ORÇAMENTO!$X$15-CÁLCULO.TotalAdmLocal)*CRONO!$F31,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SUMIF(CÁLCULO!$AM$15:$AW$22,CRONO!AE$12,CÁLCULO!$AB$15:$AL$22)/(ORÇAMENTO!$X$15-CÁLCULO.TotalAdmLocal)*CRONO!$F31,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SUMIF(CÁLCULO!$AM$15:$AW$22,CRONO!AF$12,CÁLCULO!$AB$15:$AL$22)/(ORÇAMENTO!$X$15-CÁLCULO.TotalAdmLocal)*CRONO!$F31,
                        0),
                 AF30*$S29),
          SUMIF(OFFSET($S31,1,0,$R29-2),($M29+1)&amp;"$",OFFSET(AF31,1,0,$R29-2)))</f>
        <v>0</v>
      </c>
      <c r="AG31" s="534"/>
    </row>
    <row r="32" spans="1:33" x14ac:dyDescent="0.2">
      <c r="A32" s="186" t="str">
        <f t="shared" ref="A32" ca="1" si="38">IF($M32&gt;1,_xlfn.CONCAT($I32," ",$J32),"")</f>
        <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t="e" cm="1">
        <f t="array" aca="1" ref="E32" ca="1">IF(AND($R32=2,ACOMPANHAMENTO="BM"),ROUND(E33,4),E34/$S32)</f>
        <v>#DIV/0!</v>
      </c>
      <c r="F32" s="185" t="e" cm="1">
        <f t="array" aca="1" ref="F32" ca="1">IF(B32&lt;=ORÇAMENTO.MáximoListaCrono,MATCH(B32,ORÇAMENTO.ListaCrono,0),NA())</f>
        <v>#N/A</v>
      </c>
      <c r="G32" s="185" t="str">
        <f t="shared" ref="G32" ca="1" si="40">IF(AND($F33&lt;&gt;-1,$S32&gt;0),"F","")</f>
        <v/>
      </c>
      <c r="H32" s="189" t="str" cm="1">
        <f t="array" aca="1" ref="H32" ca="1">IF(OR(S32=0,S32=""),"Linha",IF(AND(OR(ACOMPANHAMENTO="PLE",$R32&lt;&gt;2),$F33=0),"Linha",ROUND(1-SUM(U32:AG32),4)))</f>
        <v>Linha</v>
      </c>
      <c r="I32" s="190">
        <f ca="1">IF($F33=0,OFFSET(ORÇAMENTO!O$15,$F32,0),IF($F33&lt;&gt;-1,OFFSET(QCI!$D$13,$F33,0),""))</f>
        <v>5</v>
      </c>
      <c r="J32" s="191" t="str">
        <f ca="1">IF($F33=0,OFFSET(ORÇAMENTO!R$15,$F32,0),IF($F33&lt;&gt;-1,OFFSET(QCI!$G$13,$F33,0),""))</f>
        <v/>
      </c>
      <c r="K32" s="191"/>
      <c r="L32" s="191"/>
      <c r="M32" s="192">
        <f ca="1">IF($F33=0,OFFSET(ORÇAMENTO!C$15,$F32,0),1)</f>
        <v>1</v>
      </c>
      <c r="N32" s="193">
        <f ca="1">IF($F33=-1,0,IF(N$13&lt;=$M32,IF(ISERROR(MATCH(N$13,OFFSET($M32,1,0,ROW($M$164)-ROW($M32)-1),0)),ROW($M$164)-ROW($M32)-1,MATCH(N$13,OFFSET($M32,1,0,ROW($M$164)-ROW($M32)-1),0)-1),0))</f>
        <v>2</v>
      </c>
      <c r="O32" s="193">
        <f ca="1">IF($F33=-1,0,IF(O$13&lt;=$M32,IF(ISERROR(MATCH(O$13,OFFSET($M32,1,0,ROW($M$164)-ROW($M32)-1),0)),ROW($M$164)-ROW($M32)-1,MATCH(O$13,OFFSET($M32,1,0,ROW($M$164)-ROW($M32)-1),0)-1),0))</f>
        <v>0</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0</v>
      </c>
      <c r="T32" s="195" t="s">
        <v>785</v>
      </c>
      <c r="U32" s="188" t="e" cm="1">
        <f t="array" aca="1" ref="U32" ca="1">IF(AND($R32=2,ACOMPANHAMENTO="BM"),ROUND(U33,4),U34/$S32)</f>
        <v>#DIV/0!</v>
      </c>
      <c r="V32" s="188" t="e" cm="1">
        <f t="array" aca="1" ref="V32" ca="1">IF(AND($R32=2,ACOMPANHAMENTO="BM"),ROUND(V33,4),V34/$S32)</f>
        <v>#DIV/0!</v>
      </c>
      <c r="W32" s="188" t="e" cm="1">
        <f t="array" aca="1" ref="W32" ca="1">IF(AND($R32=2,ACOMPANHAMENTO="BM"),ROUND(W33,4),W34/$S32)</f>
        <v>#DIV/0!</v>
      </c>
      <c r="X32" s="188" t="e" cm="1">
        <f t="array" aca="1" ref="X32" ca="1">IF(AND($R32=2,ACOMPANHAMENTO="BM"),ROUND(X33,4),X34/$S32)</f>
        <v>#DIV/0!</v>
      </c>
      <c r="Y32" s="188" t="e" cm="1">
        <f t="array" aca="1" ref="Y32" ca="1">IF(AND($R32=2,ACOMPANHAMENTO="BM"),ROUND(Y33,4),Y34/$S32)</f>
        <v>#DIV/0!</v>
      </c>
      <c r="Z32" s="188" t="e" cm="1">
        <f t="array" aca="1" ref="Z32" ca="1">IF(AND($R32=2,ACOMPANHAMENTO="BM"),ROUND(Z33,4),Z34/$S32)</f>
        <v>#DIV/0!</v>
      </c>
      <c r="AA32" s="188" t="e" cm="1">
        <f t="array" aca="1" ref="AA32" ca="1">IF(AND($R32=2,ACOMPANHAMENTO="BM"),ROUND(AA33,4),AA34/$S32)</f>
        <v>#DIV/0!</v>
      </c>
      <c r="AB32" s="188" t="e" cm="1">
        <f t="array" aca="1" ref="AB32" ca="1">IF(AND($R32=2,ACOMPANHAMENTO="BM"),ROUND(AB33,4),AB34/$S32)</f>
        <v>#DIV/0!</v>
      </c>
      <c r="AC32" s="188" t="e" cm="1">
        <f t="array" aca="1" ref="AC32" ca="1">IF(AND($R32=2,ACOMPANHAMENTO="BM"),ROUND(AC33,4),AC34/$S32)</f>
        <v>#DIV/0!</v>
      </c>
      <c r="AD32" s="188" t="e" cm="1">
        <f t="array" aca="1" ref="AD32" ca="1">IF(AND($R32=2,ACOMPANHAMENTO="BM"),ROUND(AD33,4),AD34/$S32)</f>
        <v>#DIV/0!</v>
      </c>
      <c r="AE32" s="188" t="e" cm="1">
        <f t="array" aca="1" ref="AE32" ca="1">IF(AND($R32=2,ACOMPANHAMENTO="BM"),ROUND(AE33,4),AE34/$S32)</f>
        <v>#DIV/0!</v>
      </c>
      <c r="AF32" s="188" t="e" cm="1">
        <f t="array" aca="1" ref="AF32" ca="1">IF(AND($R32=2,ACOMPANHAMENTO="BM"),ROUND(AF33,4),AF34/$S32)</f>
        <v>#DIV/0!</v>
      </c>
      <c r="AG32" s="534"/>
    </row>
    <row r="33" spans="1:33" ht="12.75" customHeight="1" x14ac:dyDescent="0.2">
      <c r="E33" s="587"/>
      <c r="F33" s="185">
        <f ca="1">IF(ISERROR(F32),IF(1+COUNTIF($M$13:OFFSET(M32,-1,0),1)&lt;=MAX(QCI!$D$13:$D$24),1+COUNTIF($M$13:OFFSET(M32,-1,0),1),-1),0)</f>
        <v>5</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SUMIF(CÁLCULO!$AM$15:$AW$22,CRONO!E$12,CÁLCULO!$AB$15:$AL$22)/(ORÇAMENTO!$X$15-CÁLCULO.TotalAdmLocal)*CRONO!$F34,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1$</v>
      </c>
      <c r="T34" s="205"/>
      <c r="U34" s="202" cm="1">
        <f t="array" aca="1" ref="U34" ca="1">IF($R32=2,
         IF(AND(ACOMPANHAMENTO="PLE",ISNUMBER($F32)),
                SUMIF((OFFSET(CÁLCULO!$AM$15:$AW$15,$F32,0,OFFSET(ORÇAMENTO!$D$15,CRONO!$F32,0))),CRONO!U$12,OFFSET(CÁLCULO!$AB$15:$AL$15,$F32,0,OFFSET(ORÇAMENTO!$D$15,CRONO!$F32,0)))
                +IF(AND($F34&lt;&gt;"",$F34&lt;&gt;0),
                        SUMIF(CÁLCULO!$AM$15:$AW$22,CRONO!U$12,CÁLCULO!$AB$15:$AL$22)/(ORÇAMENTO!$X$15-CÁLCULO.TotalAdmLocal)*CRONO!$F34,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SUMIF(CÁLCULO!$AM$15:$AW$22,CRONO!V$12,CÁLCULO!$AB$15:$AL$22)/(ORÇAMENTO!$X$15-CÁLCULO.TotalAdmLocal)*CRONO!$F34,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SUMIF(CÁLCULO!$AM$15:$AW$22,CRONO!W$12,CÁLCULO!$AB$15:$AL$22)/(ORÇAMENTO!$X$15-CÁLCULO.TotalAdmLocal)*CRONO!$F34,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SUMIF(CÁLCULO!$AM$15:$AW$22,CRONO!X$12,CÁLCULO!$AB$15:$AL$22)/(ORÇAMENTO!$X$15-CÁLCULO.TotalAdmLocal)*CRONO!$F34,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SUMIF(CÁLCULO!$AM$15:$AW$22,CRONO!Y$12,CÁLCULO!$AB$15:$AL$22)/(ORÇAMENTO!$X$15-CÁLCULO.TotalAdmLocal)*CRONO!$F34,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SUMIF(CÁLCULO!$AM$15:$AW$22,CRONO!Z$12,CÁLCULO!$AB$15:$AL$22)/(ORÇAMENTO!$X$15-CÁLCULO.TotalAdmLocal)*CRONO!$F34,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SUMIF(CÁLCULO!$AM$15:$AW$22,CRONO!AA$12,CÁLCULO!$AB$15:$AL$22)/(ORÇAMENTO!$X$15-CÁLCULO.TotalAdmLocal)*CRONO!$F34,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SUMIF(CÁLCULO!$AM$15:$AW$22,CRONO!AB$12,CÁLCULO!$AB$15:$AL$22)/(ORÇAMENTO!$X$15-CÁLCULO.TotalAdmLocal)*CRONO!$F34,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SUMIF(CÁLCULO!$AM$15:$AW$22,CRONO!AC$12,CÁLCULO!$AB$15:$AL$22)/(ORÇAMENTO!$X$15-CÁLCULO.TotalAdmLocal)*CRONO!$F34,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SUMIF(CÁLCULO!$AM$15:$AW$22,CRONO!AD$12,CÁLCULO!$AB$15:$AL$22)/(ORÇAMENTO!$X$15-CÁLCULO.TotalAdmLocal)*CRONO!$F34,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SUMIF(CÁLCULO!$AM$15:$AW$22,CRONO!AE$12,CÁLCULO!$AB$15:$AL$22)/(ORÇAMENTO!$X$15-CÁLCULO.TotalAdmLocal)*CRONO!$F34,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SUMIF(CÁLCULO!$AM$15:$AW$22,CRONO!AF$12,CÁLCULO!$AB$15:$AL$22)/(ORÇAMENTO!$X$15-CÁLCULO.TotalAdmLocal)*CRONO!$F34,
                        0),
                 AF33*$S32),
          SUMIF(OFFSET($S34,1,0,$R32-2),($M32+1)&amp;"$",OFFSET(AF34,1,0,$R32-2)))</f>
        <v>0</v>
      </c>
      <c r="AG34" s="534"/>
    </row>
    <row r="35" spans="1:33" x14ac:dyDescent="0.2">
      <c r="A35" s="186" t="str">
        <f t="shared" ref="A35" ca="1" si="44">IF($M35&gt;1,_xlfn.CONCAT($I35," ",$J35),"")</f>
        <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t="e" cm="1">
        <f t="array" aca="1" ref="F35" ca="1">IF(B35&lt;=ORÇAMENTO.MáximoListaCrono,MATCH(B35,ORÇAMENTO.ListaCrono,0),NA())</f>
        <v>#N/A</v>
      </c>
      <c r="G35" s="185" t="str">
        <f t="shared" ref="G35" ca="1" si="46">IF(AND($F36&lt;&gt;-1,$S35&gt;0),"F","")</f>
        <v/>
      </c>
      <c r="H35" s="189" t="str" cm="1">
        <f t="array" aca="1" ref="H35" ca="1">IF(OR(S35=0,S35=""),"Linha",IF(AND(OR(ACOMPANHAMENTO="PLE",$R35&lt;&gt;2),$F36=0),"Linha",ROUND(1-SUM(U35:AG35),4)))</f>
        <v>Linha</v>
      </c>
      <c r="I35" s="190">
        <f ca="1">IF($F36=0,OFFSET(ORÇAMENTO!O$15,$F35,0),IF($F36&lt;&gt;-1,OFFSET(QCI!$D$13,$F36,0),""))</f>
        <v>6</v>
      </c>
      <c r="J35" s="191" t="str">
        <f ca="1">IF($F36=0,OFFSET(ORÇAMENTO!R$15,$F35,0),IF($F36&lt;&gt;-1,OFFSET(QCI!$G$13,$F36,0),""))</f>
        <v/>
      </c>
      <c r="K35" s="191"/>
      <c r="L35" s="191"/>
      <c r="M35" s="192">
        <f ca="1">IF($F36=0,OFFSET(ORÇAMENTO!C$15,$F35,0),1)</f>
        <v>1</v>
      </c>
      <c r="N35" s="193">
        <f ca="1">IF($F36=-1,0,IF(N$13&lt;=$M35,IF(ISERROR(MATCH(N$13,OFFSET($M35,1,0,ROW($M$164)-ROW($M35)-1),0)),ROW($M$164)-ROW($M35)-1,MATCH(N$13,OFFSET($M35,1,0,ROW($M$164)-ROW($M35)-1),0)-1),0))</f>
        <v>2</v>
      </c>
      <c r="O35" s="193">
        <f ca="1">IF($F36=-1,0,IF(O$13&lt;=$M35,IF(ISERROR(MATCH(O$13,OFFSET($M35,1,0,ROW($M$164)-ROW($M35)-1),0)),ROW($M$164)-ROW($M35)-1,MATCH(O$13,OFFSET($M35,1,0,ROW($M$164)-ROW($M35)-1),0)-1),0))</f>
        <v>0</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customHeight="1" x14ac:dyDescent="0.2">
      <c r="E36" s="587"/>
      <c r="F36" s="185">
        <f ca="1">IF(ISERROR(F35),IF(1+COUNTIF($M$13:OFFSET(M35,-1,0),1)&lt;=MAX(QCI!$D$13:$D$24),1+COUNTIF($M$13:OFFSET(M35,-1,0),1),-1),0)</f>
        <v>6</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SUMIF(CÁLCULO!$AM$15:$AW$22,CRONO!E$12,CÁLCULO!$AB$15:$AL$22)/(ORÇAMENTO!$X$15-CÁLCULO.TotalAdmLocal)*CRONO!$F37,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1$</v>
      </c>
      <c r="T37" s="205"/>
      <c r="U37" s="202" cm="1">
        <f t="array" aca="1" ref="U37" ca="1">IF($R35=2,
         IF(AND(ACOMPANHAMENTO="PLE",ISNUMBER($F35)),
                SUMIF((OFFSET(CÁLCULO!$AM$15:$AW$15,$F35,0,OFFSET(ORÇAMENTO!$D$15,CRONO!$F35,0))),CRONO!U$12,OFFSET(CÁLCULO!$AB$15:$AL$15,$F35,0,OFFSET(ORÇAMENTO!$D$15,CRONO!$F35,0)))
                +IF(AND($F37&lt;&gt;"",$F37&lt;&gt;0),
                        SUMIF(CÁLCULO!$AM$15:$AW$22,CRONO!U$12,CÁLCULO!$AB$15:$AL$22)/(ORÇAMENTO!$X$15-CÁLCULO.TotalAdmLocal)*CRONO!$F37,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SUMIF(CÁLCULO!$AM$15:$AW$22,CRONO!V$12,CÁLCULO!$AB$15:$AL$22)/(ORÇAMENTO!$X$15-CÁLCULO.TotalAdmLocal)*CRONO!$F37,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SUMIF(CÁLCULO!$AM$15:$AW$22,CRONO!W$12,CÁLCULO!$AB$15:$AL$22)/(ORÇAMENTO!$X$15-CÁLCULO.TotalAdmLocal)*CRONO!$F37,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SUMIF(CÁLCULO!$AM$15:$AW$22,CRONO!X$12,CÁLCULO!$AB$15:$AL$22)/(ORÇAMENTO!$X$15-CÁLCULO.TotalAdmLocal)*CRONO!$F37,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SUMIF(CÁLCULO!$AM$15:$AW$22,CRONO!Y$12,CÁLCULO!$AB$15:$AL$22)/(ORÇAMENTO!$X$15-CÁLCULO.TotalAdmLocal)*CRONO!$F37,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SUMIF(CÁLCULO!$AM$15:$AW$22,CRONO!Z$12,CÁLCULO!$AB$15:$AL$22)/(ORÇAMENTO!$X$15-CÁLCULO.TotalAdmLocal)*CRONO!$F37,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SUMIF(CÁLCULO!$AM$15:$AW$22,CRONO!AA$12,CÁLCULO!$AB$15:$AL$22)/(ORÇAMENTO!$X$15-CÁLCULO.TotalAdmLocal)*CRONO!$F37,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SUMIF(CÁLCULO!$AM$15:$AW$22,CRONO!AB$12,CÁLCULO!$AB$15:$AL$22)/(ORÇAMENTO!$X$15-CÁLCULO.TotalAdmLocal)*CRONO!$F37,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SUMIF(CÁLCULO!$AM$15:$AW$22,CRONO!AC$12,CÁLCULO!$AB$15:$AL$22)/(ORÇAMENTO!$X$15-CÁLCULO.TotalAdmLocal)*CRONO!$F37,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SUMIF(CÁLCULO!$AM$15:$AW$22,CRONO!AD$12,CÁLCULO!$AB$15:$AL$22)/(ORÇAMENTO!$X$15-CÁLCULO.TotalAdmLocal)*CRONO!$F37,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SUMIF(CÁLCULO!$AM$15:$AW$22,CRONO!AE$12,CÁLCULO!$AB$15:$AL$22)/(ORÇAMENTO!$X$15-CÁLCULO.TotalAdmLocal)*CRONO!$F37,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SUMIF(CÁLCULO!$AM$15:$AW$22,CRONO!AF$12,CÁLCULO!$AB$15:$AL$22)/(ORÇAMENTO!$X$15-CÁLCULO.TotalAdmLocal)*CRONO!$F37,
                        0),
                 AF36*$S35),
          SUMIF(OFFSET($S37,1,0,$R35-2),($M35+1)&amp;"$",OFFSET(AF37,1,0,$R35-2)))</f>
        <v>0</v>
      </c>
      <c r="AG37" s="534"/>
    </row>
    <row r="38" spans="1:33" x14ac:dyDescent="0.2">
      <c r="A38" s="186" t="str">
        <f t="shared" ref="A38" ca="1" si="50">IF($M38&gt;1,_xlfn.CONCAT($I38," ",$J38),"")</f>
        <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t="e" cm="1">
        <f t="array" aca="1" ref="F38" ca="1">IF(B38&lt;=ORÇAMENTO.MáximoListaCrono,MATCH(B38,ORÇAMENTO.ListaCrono,0),NA())</f>
        <v>#N/A</v>
      </c>
      <c r="G38" s="185" t="str">
        <f t="shared" ref="G38" ca="1" si="52">IF(AND($F39&lt;&gt;-1,$S38&gt;0),"F","")</f>
        <v/>
      </c>
      <c r="H38" s="189" t="str" cm="1">
        <f t="array" aca="1" ref="H38" ca="1">IF(OR(S38=0,S38=""),"Linha",IF(AND(OR(ACOMPANHAMENTO="PLE",$R38&lt;&gt;2),$F39=0),"Linha",ROUND(1-SUM(U38:AG38),4)))</f>
        <v>Linha</v>
      </c>
      <c r="I38" s="190">
        <f ca="1">IF($F39=0,OFFSET(ORÇAMENTO!O$15,$F38,0),IF($F39&lt;&gt;-1,OFFSET(QCI!$D$13,$F39,0),""))</f>
        <v>7</v>
      </c>
      <c r="J38" s="191" t="str">
        <f ca="1">IF($F39=0,OFFSET(ORÇAMENTO!R$15,$F38,0),IF($F39&lt;&gt;-1,OFFSET(QCI!$G$13,$F39,0),""))</f>
        <v/>
      </c>
      <c r="K38" s="191"/>
      <c r="L38" s="191"/>
      <c r="M38" s="192">
        <f ca="1">IF($F39=0,OFFSET(ORÇAMENTO!C$15,$F38,0),1)</f>
        <v>1</v>
      </c>
      <c r="N38" s="193">
        <f ca="1">IF($F39=-1,0,IF(N$13&lt;=$M38,IF(ISERROR(MATCH(N$13,OFFSET($M38,1,0,ROW($M$164)-ROW($M38)-1),0)),ROW($M$164)-ROW($M38)-1,MATCH(N$13,OFFSET($M38,1,0,ROW($M$164)-ROW($M38)-1),0)-1),0))</f>
        <v>2</v>
      </c>
      <c r="O38" s="193">
        <f ca="1">IF($F39=-1,0,IF(O$13&lt;=$M38,IF(ISERROR(MATCH(O$13,OFFSET($M38,1,0,ROW($M$164)-ROW($M38)-1),0)),ROW($M$164)-ROW($M38)-1,MATCH(O$13,OFFSET($M38,1,0,ROW($M$164)-ROW($M38)-1),0)-1),0))</f>
        <v>0</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customHeight="1" x14ac:dyDescent="0.2">
      <c r="E39" s="587"/>
      <c r="F39" s="185">
        <f ca="1">IF(ISERROR(F38),IF(1+COUNTIF($M$13:OFFSET(M38,-1,0),1)&lt;=MAX(QCI!$D$13:$D$24),1+COUNTIF($M$13:OFFSET(M38,-1,0),1),-1),0)</f>
        <v>7</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SUMIF(CÁLCULO!$AM$15:$AW$22,CRONO!E$12,CÁLCULO!$AB$15:$AL$22)/(ORÇAMENTO!$X$15-CÁLCULO.TotalAdmLocal)*CRONO!$F40,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1$</v>
      </c>
      <c r="T40" s="205"/>
      <c r="U40" s="202" cm="1">
        <f t="array" aca="1" ref="U40" ca="1">IF($R38=2,
         IF(AND(ACOMPANHAMENTO="PLE",ISNUMBER($F38)),
                SUMIF((OFFSET(CÁLCULO!$AM$15:$AW$15,$F38,0,OFFSET(ORÇAMENTO!$D$15,CRONO!$F38,0))),CRONO!U$12,OFFSET(CÁLCULO!$AB$15:$AL$15,$F38,0,OFFSET(ORÇAMENTO!$D$15,CRONO!$F38,0)))
                +IF(AND($F40&lt;&gt;"",$F40&lt;&gt;0),
                        SUMIF(CÁLCULO!$AM$15:$AW$22,CRONO!U$12,CÁLCULO!$AB$15:$AL$22)/(ORÇAMENTO!$X$15-CÁLCULO.TotalAdmLocal)*CRONO!$F40,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SUMIF(CÁLCULO!$AM$15:$AW$22,CRONO!V$12,CÁLCULO!$AB$15:$AL$22)/(ORÇAMENTO!$X$15-CÁLCULO.TotalAdmLocal)*CRONO!$F40,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SUMIF(CÁLCULO!$AM$15:$AW$22,CRONO!W$12,CÁLCULO!$AB$15:$AL$22)/(ORÇAMENTO!$X$15-CÁLCULO.TotalAdmLocal)*CRONO!$F40,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SUMIF(CÁLCULO!$AM$15:$AW$22,CRONO!X$12,CÁLCULO!$AB$15:$AL$22)/(ORÇAMENTO!$X$15-CÁLCULO.TotalAdmLocal)*CRONO!$F40,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SUMIF(CÁLCULO!$AM$15:$AW$22,CRONO!Y$12,CÁLCULO!$AB$15:$AL$22)/(ORÇAMENTO!$X$15-CÁLCULO.TotalAdmLocal)*CRONO!$F40,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SUMIF(CÁLCULO!$AM$15:$AW$22,CRONO!Z$12,CÁLCULO!$AB$15:$AL$22)/(ORÇAMENTO!$X$15-CÁLCULO.TotalAdmLocal)*CRONO!$F40,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SUMIF(CÁLCULO!$AM$15:$AW$22,CRONO!AA$12,CÁLCULO!$AB$15:$AL$22)/(ORÇAMENTO!$X$15-CÁLCULO.TotalAdmLocal)*CRONO!$F40,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SUMIF(CÁLCULO!$AM$15:$AW$22,CRONO!AB$12,CÁLCULO!$AB$15:$AL$22)/(ORÇAMENTO!$X$15-CÁLCULO.TotalAdmLocal)*CRONO!$F40,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SUMIF(CÁLCULO!$AM$15:$AW$22,CRONO!AC$12,CÁLCULO!$AB$15:$AL$22)/(ORÇAMENTO!$X$15-CÁLCULO.TotalAdmLocal)*CRONO!$F40,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SUMIF(CÁLCULO!$AM$15:$AW$22,CRONO!AD$12,CÁLCULO!$AB$15:$AL$22)/(ORÇAMENTO!$X$15-CÁLCULO.TotalAdmLocal)*CRONO!$F40,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SUMIF(CÁLCULO!$AM$15:$AW$22,CRONO!AE$12,CÁLCULO!$AB$15:$AL$22)/(ORÇAMENTO!$X$15-CÁLCULO.TotalAdmLocal)*CRONO!$F40,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SUMIF(CÁLCULO!$AM$15:$AW$22,CRONO!AF$12,CÁLCULO!$AB$15:$AL$22)/(ORÇAMENTO!$X$15-CÁLCULO.TotalAdmLocal)*CRONO!$F40,
                        0),
                 AF39*$S38),
          SUMIF(OFFSET($S40,1,0,$R38-2),($M38+1)&amp;"$",OFFSET(AF40,1,0,$R38-2)))</f>
        <v>0</v>
      </c>
      <c r="AG40" s="534"/>
    </row>
    <row r="41" spans="1:33" x14ac:dyDescent="0.2">
      <c r="A41" s="186" t="str">
        <f t="shared" ref="A41" ca="1" si="56">IF($M41&gt;1,_xlfn.CONCAT($I41," ",$J41),"")</f>
        <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t="e" cm="1">
        <f t="array" aca="1" ref="F41" ca="1">IF(B41&lt;=ORÇAMENTO.MáximoListaCrono,MATCH(B41,ORÇAMENTO.ListaCrono,0),NA())</f>
        <v>#N/A</v>
      </c>
      <c r="G41" s="185" t="str">
        <f t="shared" ref="G41" ca="1" si="58">IF(AND($F42&lt;&gt;-1,$S41&gt;0),"F","")</f>
        <v/>
      </c>
      <c r="H41" s="189" t="str" cm="1">
        <f t="array" aca="1" ref="H41" ca="1">IF(OR(S41=0,S41=""),"Linha",IF(AND(OR(ACOMPANHAMENTO="PLE",$R41&lt;&gt;2),$F42=0),"Linha",ROUND(1-SUM(U41:AG41),4)))</f>
        <v>Linha</v>
      </c>
      <c r="I41" s="190">
        <f ca="1">IF($F42=0,OFFSET(ORÇAMENTO!O$15,$F41,0),IF($F42&lt;&gt;-1,OFFSET(QCI!$D$13,$F42,0),""))</f>
        <v>8</v>
      </c>
      <c r="J41" s="191" t="str">
        <f ca="1">IF($F42=0,OFFSET(ORÇAMENTO!R$15,$F41,0),IF($F42&lt;&gt;-1,OFFSET(QCI!$G$13,$F42,0),""))</f>
        <v/>
      </c>
      <c r="K41" s="191"/>
      <c r="L41" s="191"/>
      <c r="M41" s="192">
        <f ca="1">IF($F42=0,OFFSET(ORÇAMENTO!C$15,$F41,0),1)</f>
        <v>1</v>
      </c>
      <c r="N41" s="193">
        <f ca="1">IF($F42=-1,0,IF(N$13&lt;=$M41,IF(ISERROR(MATCH(N$13,OFFSET($M41,1,0,ROW($M$164)-ROW($M41)-1),0)),ROW($M$164)-ROW($M41)-1,MATCH(N$13,OFFSET($M41,1,0,ROW($M$164)-ROW($M41)-1),0)-1),0))</f>
        <v>2</v>
      </c>
      <c r="O41" s="193">
        <f ca="1">IF($F42=-1,0,IF(O$13&lt;=$M41,IF(ISERROR(MATCH(O$13,OFFSET($M41,1,0,ROW($M$164)-ROW($M41)-1),0)),ROW($M$164)-ROW($M41)-1,MATCH(O$13,OFFSET($M41,1,0,ROW($M$164)-ROW($M41)-1),0)-1),0))</f>
        <v>0</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customHeight="1" x14ac:dyDescent="0.2">
      <c r="E42" s="587"/>
      <c r="F42" s="185">
        <f ca="1">IF(ISERROR(F41),IF(1+COUNTIF($M$13:OFFSET(M41,-1,0),1)&lt;=MAX(QCI!$D$13:$D$24),1+COUNTIF($M$13:OFFSET(M41,-1,0),1),-1),0)</f>
        <v>8</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SUMIF(CÁLCULO!$AM$15:$AW$22,CRONO!E$12,CÁLCULO!$AB$15:$AL$22)/(ORÇAMENTO!$X$15-CÁLCULO.TotalAdmLocal)*CRONO!$F43,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1$</v>
      </c>
      <c r="T43" s="205"/>
      <c r="U43" s="202" cm="1">
        <f t="array" aca="1" ref="U43" ca="1">IF($R41=2,
         IF(AND(ACOMPANHAMENTO="PLE",ISNUMBER($F41)),
                SUMIF((OFFSET(CÁLCULO!$AM$15:$AW$15,$F41,0,OFFSET(ORÇAMENTO!$D$15,CRONO!$F41,0))),CRONO!U$12,OFFSET(CÁLCULO!$AB$15:$AL$15,$F41,0,OFFSET(ORÇAMENTO!$D$15,CRONO!$F41,0)))
                +IF(AND($F43&lt;&gt;"",$F43&lt;&gt;0),
                        SUMIF(CÁLCULO!$AM$15:$AW$22,CRONO!U$12,CÁLCULO!$AB$15:$AL$22)/(ORÇAMENTO!$X$15-CÁLCULO.TotalAdmLocal)*CRONO!$F43,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SUMIF(CÁLCULO!$AM$15:$AW$22,CRONO!V$12,CÁLCULO!$AB$15:$AL$22)/(ORÇAMENTO!$X$15-CÁLCULO.TotalAdmLocal)*CRONO!$F43,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SUMIF(CÁLCULO!$AM$15:$AW$22,CRONO!W$12,CÁLCULO!$AB$15:$AL$22)/(ORÇAMENTO!$X$15-CÁLCULO.TotalAdmLocal)*CRONO!$F43,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SUMIF(CÁLCULO!$AM$15:$AW$22,CRONO!X$12,CÁLCULO!$AB$15:$AL$22)/(ORÇAMENTO!$X$15-CÁLCULO.TotalAdmLocal)*CRONO!$F43,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SUMIF(CÁLCULO!$AM$15:$AW$22,CRONO!Y$12,CÁLCULO!$AB$15:$AL$22)/(ORÇAMENTO!$X$15-CÁLCULO.TotalAdmLocal)*CRONO!$F43,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SUMIF(CÁLCULO!$AM$15:$AW$22,CRONO!Z$12,CÁLCULO!$AB$15:$AL$22)/(ORÇAMENTO!$X$15-CÁLCULO.TotalAdmLocal)*CRONO!$F43,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SUMIF(CÁLCULO!$AM$15:$AW$22,CRONO!AA$12,CÁLCULO!$AB$15:$AL$22)/(ORÇAMENTO!$X$15-CÁLCULO.TotalAdmLocal)*CRONO!$F43,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SUMIF(CÁLCULO!$AM$15:$AW$22,CRONO!AB$12,CÁLCULO!$AB$15:$AL$22)/(ORÇAMENTO!$X$15-CÁLCULO.TotalAdmLocal)*CRONO!$F43,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SUMIF(CÁLCULO!$AM$15:$AW$22,CRONO!AC$12,CÁLCULO!$AB$15:$AL$22)/(ORÇAMENTO!$X$15-CÁLCULO.TotalAdmLocal)*CRONO!$F43,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SUMIF(CÁLCULO!$AM$15:$AW$22,CRONO!AD$12,CÁLCULO!$AB$15:$AL$22)/(ORÇAMENTO!$X$15-CÁLCULO.TotalAdmLocal)*CRONO!$F43,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SUMIF(CÁLCULO!$AM$15:$AW$22,CRONO!AE$12,CÁLCULO!$AB$15:$AL$22)/(ORÇAMENTO!$X$15-CÁLCULO.TotalAdmLocal)*CRONO!$F43,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SUMIF(CÁLCULO!$AM$15:$AW$22,CRONO!AF$12,CÁLCULO!$AB$15:$AL$22)/(ORÇAMENTO!$X$15-CÁLCULO.TotalAdmLocal)*CRONO!$F43,
                        0),
                 AF42*$S41),
          SUMIF(OFFSET($S43,1,0,$R41-2),($M41+1)&amp;"$",OFFSET(AF43,1,0,$R41-2)))</f>
        <v>0</v>
      </c>
      <c r="AG43" s="534"/>
    </row>
    <row r="44" spans="1:33" x14ac:dyDescent="0.2">
      <c r="A44" s="186" t="str">
        <f t="shared" ref="A44" ca="1" si="62">IF($M44&gt;1,_xlfn.CONCAT($I44," ",$J44),"")</f>
        <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t="e" cm="1">
        <f t="array" aca="1" ref="F44" ca="1">IF(B44&lt;=ORÇAMENTO.MáximoListaCrono,MATCH(B44,ORÇAMENTO.ListaCrono,0),NA())</f>
        <v>#N/A</v>
      </c>
      <c r="G44" s="185" t="str">
        <f t="shared" ref="G44" ca="1" si="64">IF(AND($F45&lt;&gt;-1,$S44&gt;0),"F","")</f>
        <v/>
      </c>
      <c r="H44" s="189" t="str" cm="1">
        <f t="array" aca="1" ref="H44" ca="1">IF(OR(S44=0,S44=""),"Linha",IF(AND(OR(ACOMPANHAMENTO="PLE",$R44&lt;&gt;2),$F45=0),"Linha",ROUND(1-SUM(U44:AG44),4)))</f>
        <v>Linha</v>
      </c>
      <c r="I44" s="190">
        <f ca="1">IF($F45=0,OFFSET(ORÇAMENTO!O$15,$F44,0),IF($F45&lt;&gt;-1,OFFSET(QCI!$D$13,$F45,0),""))</f>
        <v>9</v>
      </c>
      <c r="J44" s="191" t="str">
        <f ca="1">IF($F45=0,OFFSET(ORÇAMENTO!R$15,$F44,0),IF($F45&lt;&gt;-1,OFFSET(QCI!$G$13,$F45,0),""))</f>
        <v/>
      </c>
      <c r="K44" s="191"/>
      <c r="L44" s="191"/>
      <c r="M44" s="192">
        <f ca="1">IF($F45=0,OFFSET(ORÇAMENTO!C$15,$F44,0),1)</f>
        <v>1</v>
      </c>
      <c r="N44" s="193">
        <f ca="1">IF($F45=-1,0,IF(N$13&lt;=$M44,IF(ISERROR(MATCH(N$13,OFFSET($M44,1,0,ROW($M$164)-ROW($M44)-1),0)),ROW($M$164)-ROW($M44)-1,MATCH(N$13,OFFSET($M44,1,0,ROW($M$164)-ROW($M44)-1),0)-1),0))</f>
        <v>2</v>
      </c>
      <c r="O44" s="193">
        <f ca="1">IF($F45=-1,0,IF(O$13&lt;=$M44,IF(ISERROR(MATCH(O$13,OFFSET($M44,1,0,ROW($M$164)-ROW($M44)-1),0)),ROW($M$164)-ROW($M44)-1,MATCH(O$13,OFFSET($M44,1,0,ROW($M$164)-ROW($M44)-1),0)-1),0))</f>
        <v>0</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534"/>
    </row>
    <row r="45" spans="1:33" ht="12.75" customHeight="1" x14ac:dyDescent="0.2">
      <c r="E45" s="587"/>
      <c r="F45" s="185">
        <f ca="1">IF(ISERROR(F44),IF(1+COUNTIF($M$13:OFFSET(M44,-1,0),1)&lt;=MAX(QCI!$D$13:$D$24),1+COUNTIF($M$13:OFFSET(M44,-1,0),1),-1),0)</f>
        <v>9</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SUMIF(CÁLCULO!$AM$15:$AW$22,CRONO!E$12,CÁLCULO!$AB$15:$AL$22)/(ORÇAMENTO!$X$15-CÁLCULO.TotalAdmLocal)*CRONO!$F46,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1$</v>
      </c>
      <c r="T46" s="205"/>
      <c r="U46" s="202" cm="1">
        <f t="array" aca="1" ref="U46" ca="1">IF($R44=2,
         IF(AND(ACOMPANHAMENTO="PLE",ISNUMBER($F44)),
                SUMIF((OFFSET(CÁLCULO!$AM$15:$AW$15,$F44,0,OFFSET(ORÇAMENTO!$D$15,CRONO!$F44,0))),CRONO!U$12,OFFSET(CÁLCULO!$AB$15:$AL$15,$F44,0,OFFSET(ORÇAMENTO!$D$15,CRONO!$F44,0)))
                +IF(AND($F46&lt;&gt;"",$F46&lt;&gt;0),
                        SUMIF(CÁLCULO!$AM$15:$AW$22,CRONO!U$12,CÁLCULO!$AB$15:$AL$22)/(ORÇAMENTO!$X$15-CÁLCULO.TotalAdmLocal)*CRONO!$F46,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SUMIF(CÁLCULO!$AM$15:$AW$22,CRONO!V$12,CÁLCULO!$AB$15:$AL$22)/(ORÇAMENTO!$X$15-CÁLCULO.TotalAdmLocal)*CRONO!$F46,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SUMIF(CÁLCULO!$AM$15:$AW$22,CRONO!W$12,CÁLCULO!$AB$15:$AL$22)/(ORÇAMENTO!$X$15-CÁLCULO.TotalAdmLocal)*CRONO!$F46,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SUMIF(CÁLCULO!$AM$15:$AW$22,CRONO!X$12,CÁLCULO!$AB$15:$AL$22)/(ORÇAMENTO!$X$15-CÁLCULO.TotalAdmLocal)*CRONO!$F46,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SUMIF(CÁLCULO!$AM$15:$AW$22,CRONO!Y$12,CÁLCULO!$AB$15:$AL$22)/(ORÇAMENTO!$X$15-CÁLCULO.TotalAdmLocal)*CRONO!$F46,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SUMIF(CÁLCULO!$AM$15:$AW$22,CRONO!Z$12,CÁLCULO!$AB$15:$AL$22)/(ORÇAMENTO!$X$15-CÁLCULO.TotalAdmLocal)*CRONO!$F46,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SUMIF(CÁLCULO!$AM$15:$AW$22,CRONO!AA$12,CÁLCULO!$AB$15:$AL$22)/(ORÇAMENTO!$X$15-CÁLCULO.TotalAdmLocal)*CRONO!$F46,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SUMIF(CÁLCULO!$AM$15:$AW$22,CRONO!AB$12,CÁLCULO!$AB$15:$AL$22)/(ORÇAMENTO!$X$15-CÁLCULO.TotalAdmLocal)*CRONO!$F46,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SUMIF(CÁLCULO!$AM$15:$AW$22,CRONO!AC$12,CÁLCULO!$AB$15:$AL$22)/(ORÇAMENTO!$X$15-CÁLCULO.TotalAdmLocal)*CRONO!$F46,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SUMIF(CÁLCULO!$AM$15:$AW$22,CRONO!AD$12,CÁLCULO!$AB$15:$AL$22)/(ORÇAMENTO!$X$15-CÁLCULO.TotalAdmLocal)*CRONO!$F46,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SUMIF(CÁLCULO!$AM$15:$AW$22,CRONO!AE$12,CÁLCULO!$AB$15:$AL$22)/(ORÇAMENTO!$X$15-CÁLCULO.TotalAdmLocal)*CRONO!$F46,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SUMIF(CÁLCULO!$AM$15:$AW$22,CRONO!AF$12,CÁLCULO!$AB$15:$AL$22)/(ORÇAMENTO!$X$15-CÁLCULO.TotalAdmLocal)*CRONO!$F46,
                        0),
                 AF45*$S44),
          SUMIF(OFFSET($S46,1,0,$R44-2),($M44+1)&amp;"$",OFFSET(AF46,1,0,$R44-2)))</f>
        <v>0</v>
      </c>
      <c r="AG46" s="534"/>
    </row>
    <row r="47" spans="1:33" x14ac:dyDescent="0.2">
      <c r="A47" s="186" t="str">
        <f t="shared" ref="A47" ca="1" si="68">IF($M47&gt;1,_xlfn.CONCAT($I47," ",$J47),"")</f>
        <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t="e" cm="1">
        <f t="array" aca="1" ref="E47" ca="1">IF(AND($R47=2,ACOMPANHAMENTO="BM"),ROUND(E48,4),E49/$S47)</f>
        <v>#DIV/0!</v>
      </c>
      <c r="F47" s="185" t="e" cm="1">
        <f t="array" aca="1" ref="F47"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f ca="1">IF($F48=0,OFFSET(ORÇAMENTO!O$15,$F47,0),IF($F48&lt;&gt;-1,OFFSET(QCI!$D$13,$F48,0),""))</f>
        <v>10</v>
      </c>
      <c r="J47" s="191" t="str">
        <f ca="1">IF($F48=0,OFFSET(ORÇAMENTO!R$15,$F47,0),IF($F48&lt;&gt;-1,OFFSET(QCI!$G$13,$F48,0),""))</f>
        <v/>
      </c>
      <c r="K47" s="191"/>
      <c r="L47" s="191"/>
      <c r="M47" s="192">
        <f ca="1">IF($F48=0,OFFSET(ORÇAMENTO!C$15,$F47,0),1)</f>
        <v>1</v>
      </c>
      <c r="N47" s="193">
        <f ca="1">IF($F48=-1,0,IF(N$13&lt;=$M47,IF(ISERROR(MATCH(N$13,OFFSET($M47,1,0,ROW($M$164)-ROW($M47)-1),0)),ROW($M$164)-ROW($M47)-1,MATCH(N$13,OFFSET($M47,1,0,ROW($M$164)-ROW($M47)-1),0)-1),0))</f>
        <v>2</v>
      </c>
      <c r="O47" s="193">
        <f ca="1">IF($F48=-1,0,IF(O$13&lt;=$M47,IF(ISERROR(MATCH(O$13,OFFSET($M47,1,0,ROW($M$164)-ROW($M47)-1),0)),ROW($M$164)-ROW($M47)-1,MATCH(O$13,OFFSET($M47,1,0,ROW($M$164)-ROW($M47)-1),0)-1),0))</f>
        <v>0</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0</v>
      </c>
      <c r="T47" s="195" t="s">
        <v>785</v>
      </c>
      <c r="U47" s="188" t="e" cm="1">
        <f t="array" aca="1" ref="U47" ca="1">IF(AND($R47=2,ACOMPANHAMENTO="BM"),ROUND(U48,4),U49/$S47)</f>
        <v>#DIV/0!</v>
      </c>
      <c r="V47" s="188" t="e" cm="1">
        <f t="array" aca="1" ref="V47" ca="1">IF(AND($R47=2,ACOMPANHAMENTO="BM"),ROUND(V48,4),V49/$S47)</f>
        <v>#DIV/0!</v>
      </c>
      <c r="W47" s="188" t="e" cm="1">
        <f t="array" aca="1" ref="W47" ca="1">IF(AND($R47=2,ACOMPANHAMENTO="BM"),ROUND(W48,4),W49/$S47)</f>
        <v>#DIV/0!</v>
      </c>
      <c r="X47" s="188" t="e" cm="1">
        <f t="array" aca="1" ref="X47" ca="1">IF(AND($R47=2,ACOMPANHAMENTO="BM"),ROUND(X48,4),X49/$S47)</f>
        <v>#DIV/0!</v>
      </c>
      <c r="Y47" s="188" t="e" cm="1">
        <f t="array" aca="1" ref="Y47" ca="1">IF(AND($R47=2,ACOMPANHAMENTO="BM"),ROUND(Y48,4),Y49/$S47)</f>
        <v>#DIV/0!</v>
      </c>
      <c r="Z47" s="188" t="e" cm="1">
        <f t="array" aca="1" ref="Z47" ca="1">IF(AND($R47=2,ACOMPANHAMENTO="BM"),ROUND(Z48,4),Z49/$S47)</f>
        <v>#DIV/0!</v>
      </c>
      <c r="AA47" s="188" t="e" cm="1">
        <f t="array" aca="1" ref="AA47" ca="1">IF(AND($R47=2,ACOMPANHAMENTO="BM"),ROUND(AA48,4),AA49/$S47)</f>
        <v>#DIV/0!</v>
      </c>
      <c r="AB47" s="188" t="e" cm="1">
        <f t="array" aca="1" ref="AB47" ca="1">IF(AND($R47=2,ACOMPANHAMENTO="BM"),ROUND(AB48,4),AB49/$S47)</f>
        <v>#DIV/0!</v>
      </c>
      <c r="AC47" s="188" t="e" cm="1">
        <f t="array" aca="1" ref="AC47" ca="1">IF(AND($R47=2,ACOMPANHAMENTO="BM"),ROUND(AC48,4),AC49/$S47)</f>
        <v>#DIV/0!</v>
      </c>
      <c r="AD47" s="188" t="e" cm="1">
        <f t="array" aca="1" ref="AD47" ca="1">IF(AND($R47=2,ACOMPANHAMENTO="BM"),ROUND(AD48,4),AD49/$S47)</f>
        <v>#DIV/0!</v>
      </c>
      <c r="AE47" s="188" t="e" cm="1">
        <f t="array" aca="1" ref="AE47" ca="1">IF(AND($R47=2,ACOMPANHAMENTO="BM"),ROUND(AE48,4),AE49/$S47)</f>
        <v>#DIV/0!</v>
      </c>
      <c r="AF47" s="188" t="e" cm="1">
        <f t="array" aca="1" ref="AF47" ca="1">IF(AND($R47=2,ACOMPANHAMENTO="BM"),ROUND(AF48,4),AF49/$S47)</f>
        <v>#DIV/0!</v>
      </c>
      <c r="AG47" s="534"/>
    </row>
    <row r="48" spans="1:33" ht="12.75" customHeight="1" x14ac:dyDescent="0.2">
      <c r="E48" s="587"/>
      <c r="F48" s="185">
        <f ca="1">IF(ISERROR(F47),IF(1+COUNTIF($M$13:OFFSET(M47,-1,0),1)&lt;=MAX(QCI!$D$13:$D$24),1+COUNTIF($M$13:OFFSET(M47,-1,0),1),-1),0)</f>
        <v>10</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SUMIF(CÁLCULO!$AM$15:$AW$22,CRONO!E$12,CÁLCULO!$AB$15:$AL$22)/(ORÇAMENTO!$X$15-CÁLCULO.TotalAdmLocal)*CRONO!$F49,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SUMIF((OFFSET(CÁLCULO!$AM$15:$AW$15,$F47,0,OFFSET(ORÇAMENTO!$D$15,CRONO!$F47,0))),CRONO!U$12,OFFSET(CÁLCULO!$AB$15:$AL$15,$F47,0,OFFSET(ORÇAMENTO!$D$15,CRONO!$F47,0)))
                +IF(AND($F49&lt;&gt;"",$F49&lt;&gt;0),
                        SUMIF(CÁLCULO!$AM$15:$AW$22,CRONO!U$12,CÁLCULO!$AB$15:$AL$22)/(ORÇAMENTO!$X$15-CÁLCULO.TotalAdmLocal)*CRONO!$F49,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SUMIF(CÁLCULO!$AM$15:$AW$22,CRONO!V$12,CÁLCULO!$AB$15:$AL$22)/(ORÇAMENTO!$X$15-CÁLCULO.TotalAdmLocal)*CRONO!$F49,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SUMIF(CÁLCULO!$AM$15:$AW$22,CRONO!W$12,CÁLCULO!$AB$15:$AL$22)/(ORÇAMENTO!$X$15-CÁLCULO.TotalAdmLocal)*CRONO!$F49,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SUMIF(CÁLCULO!$AM$15:$AW$22,CRONO!X$12,CÁLCULO!$AB$15:$AL$22)/(ORÇAMENTO!$X$15-CÁLCULO.TotalAdmLocal)*CRONO!$F49,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SUMIF(CÁLCULO!$AM$15:$AW$22,CRONO!Y$12,CÁLCULO!$AB$15:$AL$22)/(ORÇAMENTO!$X$15-CÁLCULO.TotalAdmLocal)*CRONO!$F49,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SUMIF(CÁLCULO!$AM$15:$AW$22,CRONO!Z$12,CÁLCULO!$AB$15:$AL$22)/(ORÇAMENTO!$X$15-CÁLCULO.TotalAdmLocal)*CRONO!$F49,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SUMIF(CÁLCULO!$AM$15:$AW$22,CRONO!AA$12,CÁLCULO!$AB$15:$AL$22)/(ORÇAMENTO!$X$15-CÁLCULO.TotalAdmLocal)*CRONO!$F49,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SUMIF(CÁLCULO!$AM$15:$AW$22,CRONO!AB$12,CÁLCULO!$AB$15:$AL$22)/(ORÇAMENTO!$X$15-CÁLCULO.TotalAdmLocal)*CRONO!$F49,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SUMIF(CÁLCULO!$AM$15:$AW$22,CRONO!AC$12,CÁLCULO!$AB$15:$AL$22)/(ORÇAMENTO!$X$15-CÁLCULO.TotalAdmLocal)*CRONO!$F49,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SUMIF(CÁLCULO!$AM$15:$AW$22,CRONO!AD$12,CÁLCULO!$AB$15:$AL$22)/(ORÇAMENTO!$X$15-CÁLCULO.TotalAdmLocal)*CRONO!$F49,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SUMIF(CÁLCULO!$AM$15:$AW$22,CRONO!AE$12,CÁLCULO!$AB$15:$AL$22)/(ORÇAMENTO!$X$15-CÁLCULO.TotalAdmLocal)*CRONO!$F49,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SUMIF(CÁLCULO!$AM$15:$AW$22,CRONO!AF$12,CÁLCULO!$AB$15:$AL$22)/(ORÇAMENTO!$X$15-CÁLCULO.TotalAdmLocal)*CRONO!$F49,
                        0),
                 AF48*$S47),
          SUMIF(OFFSET($S49,1,0,$R47-2),($M47+1)&amp;"$",OFFSET(AF49,1,0,$R47-2)))</f>
        <v>0</v>
      </c>
      <c r="AG49" s="534"/>
    </row>
    <row r="50" spans="1:33" x14ac:dyDescent="0.2">
      <c r="A50" s="186" t="str">
        <f t="shared" ref="A50" ca="1" si="74">IF($M50&gt;1,_xlfn.CONCAT($I50," ",$J50),"")</f>
        <v/>
      </c>
      <c r="B50" s="185">
        <f t="shared" ref="B50" ca="1" si="75">OFFSET(B50,-3,0)+1</f>
        <v>13</v>
      </c>
      <c r="C50" s="185">
        <f ca="1">IF($R50&lt;&gt;2,0,IF($S50=0,1,IF(F51&gt;0,OFFSET(QCI!$M$13,SUBSTITUTE(F51,".",""),0),OFFSET(ORÇAMENTO!$AA$15,CRONO!$F50,0))/$S50))</f>
        <v>0</v>
      </c>
      <c r="D50" s="185">
        <f ca="1">IF($R50&lt;&gt;2,0,IF($S50=0,1,IF(F51&gt;0,OFFSET(QCI!$N$13,SUBSTITUTE(F51,".",""),0),OFFSET(ORÇAMENTO!$AB$15,CRONO!$F50,0))/$S50))</f>
        <v>0</v>
      </c>
      <c r="E50" s="188" t="e" cm="1">
        <f t="array" aca="1" ref="E50" ca="1">IF(AND($R50=2,ACOMPANHAMENTO="BM"),ROUND(E51,4),E52/$S50)</f>
        <v>#VALUE!</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t="str">
        <f ca="1">IF($F51=0,OFFSET(ORÇAMENTO!O$15,$F50,0),IF($F51&lt;&gt;-1,OFFSET(QCI!$D$13,$F51,0),""))</f>
        <v/>
      </c>
      <c r="J50" s="191" t="str">
        <f ca="1">IF($F51=0,OFFSET(ORÇAMENTO!R$15,$F50,0),IF($F51&lt;&gt;-1,OFFSET(QCI!$G$13,$F51,0),""))</f>
        <v/>
      </c>
      <c r="K50" s="191"/>
      <c r="L50" s="191"/>
      <c r="M50" s="192">
        <f ca="1">IF($F51=0,OFFSET(ORÇAMENTO!C$15,$F50,0),1)</f>
        <v>1</v>
      </c>
      <c r="N50" s="193">
        <f ca="1">IF($F51=-1,0,IF(N$13&lt;=$M50,IF(ISERROR(MATCH(N$13,OFFSET($M50,1,0,ROW($M$164)-ROW($M50)-1),0)),ROW($M$164)-ROW($M50)-1,MATCH(N$13,OFFSET($M50,1,0,ROW($M$164)-ROW($M50)-1),0)-1),0))</f>
        <v>0</v>
      </c>
      <c r="O50" s="193">
        <f ca="1">IF($F51=-1,0,IF(O$13&lt;=$M50,IF(ISERROR(MATCH(O$13,OFFSET($M50,1,0,ROW($M$164)-ROW($M50)-1),0)),ROW($M$164)-ROW($M50)-1,MATCH(O$13,OFFSET($M50,1,0,ROW($M$164)-ROW($M50)-1),0)-1),0))</f>
        <v>0</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0</v>
      </c>
      <c r="S50" s="194" t="str">
        <f ca="1">IF($F51=0,OFFSET(ORÇAMENTO!X$15,$F50,0),IF($F51&lt;&gt;-1,OFFSET(QCI!$O$13,$F51,0),""))</f>
        <v/>
      </c>
      <c r="T50" s="195" t="s">
        <v>785</v>
      </c>
      <c r="U50" s="188" t="e" cm="1">
        <f t="array" aca="1" ref="U50" ca="1">IF(AND($R50=2,ACOMPANHAMENTO="BM"),ROUND(U51,4),U52/$S50)</f>
        <v>#VALUE!</v>
      </c>
      <c r="V50" s="188" t="e" cm="1">
        <f t="array" aca="1" ref="V50" ca="1">IF(AND($R50=2,ACOMPANHAMENTO="BM"),ROUND(V51,4),V52/$S50)</f>
        <v>#VALUE!</v>
      </c>
      <c r="W50" s="188" t="e" cm="1">
        <f t="array" aca="1" ref="W50" ca="1">IF(AND($R50=2,ACOMPANHAMENTO="BM"),ROUND(W51,4),W52/$S50)</f>
        <v>#VALUE!</v>
      </c>
      <c r="X50" s="188" t="e" cm="1">
        <f t="array" aca="1" ref="X50" ca="1">IF(AND($R50=2,ACOMPANHAMENTO="BM"),ROUND(X51,4),X52/$S50)</f>
        <v>#VALUE!</v>
      </c>
      <c r="Y50" s="188" t="e" cm="1">
        <f t="array" aca="1" ref="Y50" ca="1">IF(AND($R50=2,ACOMPANHAMENTO="BM"),ROUND(Y51,4),Y52/$S50)</f>
        <v>#VALUE!</v>
      </c>
      <c r="Z50" s="188" t="e" cm="1">
        <f t="array" aca="1" ref="Z50" ca="1">IF(AND($R50=2,ACOMPANHAMENTO="BM"),ROUND(Z51,4),Z52/$S50)</f>
        <v>#VALUE!</v>
      </c>
      <c r="AA50" s="188" t="e" cm="1">
        <f t="array" aca="1" ref="AA50" ca="1">IF(AND($R50=2,ACOMPANHAMENTO="BM"),ROUND(AA51,4),AA52/$S50)</f>
        <v>#VALUE!</v>
      </c>
      <c r="AB50" s="188" t="e" cm="1">
        <f t="array" aca="1" ref="AB50" ca="1">IF(AND($R50=2,ACOMPANHAMENTO="BM"),ROUND(AB51,4),AB52/$S50)</f>
        <v>#VALUE!</v>
      </c>
      <c r="AC50" s="188" t="e" cm="1">
        <f t="array" aca="1" ref="AC50" ca="1">IF(AND($R50=2,ACOMPANHAMENTO="BM"),ROUND(AC51,4),AC52/$S50)</f>
        <v>#VALUE!</v>
      </c>
      <c r="AD50" s="188" t="e" cm="1">
        <f t="array" aca="1" ref="AD50" ca="1">IF(AND($R50=2,ACOMPANHAMENTO="BM"),ROUND(AD51,4),AD52/$S50)</f>
        <v>#VALUE!</v>
      </c>
      <c r="AE50" s="188" t="e" cm="1">
        <f t="array" aca="1" ref="AE50" ca="1">IF(AND($R50=2,ACOMPANHAMENTO="BM"),ROUND(AE51,4),AE52/$S50)</f>
        <v>#VALUE!</v>
      </c>
      <c r="AF50" s="188" t="e" cm="1">
        <f t="array" aca="1" ref="AF50" ca="1">IF(AND($R50=2,ACOMPANHAMENTO="BM"),ROUND(AF51,4),AF52/$S50)</f>
        <v>#VALUE!</v>
      </c>
      <c r="AG50" s="534"/>
    </row>
    <row r="51" spans="1:33" ht="12.75" customHeight="1" x14ac:dyDescent="0.2">
      <c r="E51" s="587"/>
      <c r="F51" s="185">
        <f ca="1">IF(ISERROR(F50),IF(1+COUNTIF($M$13:OFFSET(M50,-1,0),1)&lt;=MAX(QCI!$D$13:$D$24),1+COUNTIF($M$13:OFFSET(M50,-1,0),1),-1),0)</f>
        <v>-1</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SUMIF(CÁLCULO!$AM$15:$AW$22,CRONO!E$12,CÁLCULO!$AB$15:$AL$22)/(ORÇAMENTO!$X$15-CÁLCULO.TotalAdmLocal)*CRONO!$F52,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SUMIF(CÁLCULO!$AM$15:$AW$22,CRONO!U$12,CÁLCULO!$AB$15:$AL$22)/(ORÇAMENTO!$X$15-CÁLCULO.TotalAdmLocal)*CRONO!$F52,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SUMIF(CÁLCULO!$AM$15:$AW$22,CRONO!V$12,CÁLCULO!$AB$15:$AL$22)/(ORÇAMENTO!$X$15-CÁLCULO.TotalAdmLocal)*CRONO!$F52,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SUMIF(CÁLCULO!$AM$15:$AW$22,CRONO!W$12,CÁLCULO!$AB$15:$AL$22)/(ORÇAMENTO!$X$15-CÁLCULO.TotalAdmLocal)*CRONO!$F52,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SUMIF(CÁLCULO!$AM$15:$AW$22,CRONO!X$12,CÁLCULO!$AB$15:$AL$22)/(ORÇAMENTO!$X$15-CÁLCULO.TotalAdmLocal)*CRONO!$F52,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SUMIF(CÁLCULO!$AM$15:$AW$22,CRONO!Y$12,CÁLCULO!$AB$15:$AL$22)/(ORÇAMENTO!$X$15-CÁLCULO.TotalAdmLocal)*CRONO!$F52,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SUMIF(CÁLCULO!$AM$15:$AW$22,CRONO!Z$12,CÁLCULO!$AB$15:$AL$22)/(ORÇAMENTO!$X$15-CÁLCULO.TotalAdmLocal)*CRONO!$F52,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SUMIF(CÁLCULO!$AM$15:$AW$22,CRONO!AA$12,CÁLCULO!$AB$15:$AL$22)/(ORÇAMENTO!$X$15-CÁLCULO.TotalAdmLocal)*CRONO!$F52,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SUMIF(CÁLCULO!$AM$15:$AW$22,CRONO!AB$12,CÁLCULO!$AB$15:$AL$22)/(ORÇAMENTO!$X$15-CÁLCULO.TotalAdmLocal)*CRONO!$F52,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SUMIF(CÁLCULO!$AM$15:$AW$22,CRONO!AC$12,CÁLCULO!$AB$15:$AL$22)/(ORÇAMENTO!$X$15-CÁLCULO.TotalAdmLocal)*CRONO!$F52,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SUMIF(CÁLCULO!$AM$15:$AW$22,CRONO!AD$12,CÁLCULO!$AB$15:$AL$22)/(ORÇAMENTO!$X$15-CÁLCULO.TotalAdmLocal)*CRONO!$F52,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SUMIF(CÁLCULO!$AM$15:$AW$22,CRONO!AE$12,CÁLCULO!$AB$15:$AL$22)/(ORÇAMENTO!$X$15-CÁLCULO.TotalAdmLocal)*CRONO!$F52,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SUMIF(CÁLCULO!$AM$15:$AW$22,CRONO!AF$12,CÁLCULO!$AB$15:$AL$22)/(ORÇAMENTO!$X$15-CÁLCULO.TotalAdmLocal)*CRONO!$F52,
                        0),
                 AF51*$S50),
          SUMIF(OFFSET($S52,1,0,$R50-2),($M50+1)&amp;"$",OFFSET(AF52,1,0,$R50-2)))</f>
        <v>0</v>
      </c>
      <c r="AG52" s="534"/>
    </row>
    <row r="53" spans="1:33" x14ac:dyDescent="0.2">
      <c r="A53" s="186" t="str">
        <f t="shared" ref="A53" ca="1" si="80">IF($M53&gt;1,_xlfn.CONCAT($I53," ",$J53),"")</f>
        <v/>
      </c>
      <c r="B53" s="185">
        <f t="shared" ref="B53" ca="1" si="81">OFFSET(B53,-3,0)+1</f>
        <v>14</v>
      </c>
      <c r="C53" s="185">
        <f ca="1">IF($R53&lt;&gt;2,0,IF($S53=0,1,IF(F54&gt;0,OFFSET(QCI!$M$13,SUBSTITUTE(F54,".",""),0),OFFSET(ORÇAMENTO!$AA$15,CRONO!$F53,0))/$S53))</f>
        <v>0</v>
      </c>
      <c r="D53" s="185">
        <f ca="1">IF($R53&lt;&gt;2,0,IF($S53=0,1,IF(F54&gt;0,OFFSET(QCI!$N$13,SUBSTITUTE(F54,".",""),0),OFFSET(ORÇAMENTO!$AB$15,CRONO!$F53,0))/$S53))</f>
        <v>0</v>
      </c>
      <c r="E53" s="188" t="e" cm="1">
        <f t="array" aca="1" ref="E53" ca="1">IF(AND($R53=2,ACOMPANHAMENTO="BM"),ROUND(E54,4),E55/$S53)</f>
        <v>#VALUE!</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t="str">
        <f ca="1">IF($F54=0,OFFSET(ORÇAMENTO!O$15,$F53,0),IF($F54&lt;&gt;-1,OFFSET(QCI!$D$13,$F54,0),""))</f>
        <v/>
      </c>
      <c r="J53" s="191" t="str">
        <f ca="1">IF($F54=0,OFFSET(ORÇAMENTO!R$15,$F53,0),IF($F54&lt;&gt;-1,OFFSET(QCI!$G$13,$F54,0),""))</f>
        <v/>
      </c>
      <c r="K53" s="191"/>
      <c r="L53" s="191"/>
      <c r="M53" s="192">
        <f ca="1">IF($F54=0,OFFSET(ORÇAMENTO!C$15,$F53,0),1)</f>
        <v>1</v>
      </c>
      <c r="N53" s="193">
        <f ca="1">IF($F54=-1,0,IF(N$13&lt;=$M53,IF(ISERROR(MATCH(N$13,OFFSET($M53,1,0,ROW($M$164)-ROW($M53)-1),0)),ROW($M$164)-ROW($M53)-1,MATCH(N$13,OFFSET($M53,1,0,ROW($M$164)-ROW($M53)-1),0)-1),0))</f>
        <v>0</v>
      </c>
      <c r="O53" s="193">
        <f ca="1">IF($F54=-1,0,IF(O$13&lt;=$M53,IF(ISERROR(MATCH(O$13,OFFSET($M53,1,0,ROW($M$164)-ROW($M53)-1),0)),ROW($M$164)-ROW($M53)-1,MATCH(O$13,OFFSET($M53,1,0,ROW($M$164)-ROW($M53)-1),0)-1),0))</f>
        <v>0</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0</v>
      </c>
      <c r="S53" s="194" t="str">
        <f ca="1">IF($F54=0,OFFSET(ORÇAMENTO!X$15,$F53,0),IF($F54&lt;&gt;-1,OFFSET(QCI!$O$13,$F54,0),""))</f>
        <v/>
      </c>
      <c r="T53" s="195" t="s">
        <v>785</v>
      </c>
      <c r="U53" s="188" t="e" cm="1">
        <f t="array" aca="1" ref="U53" ca="1">IF(AND($R53=2,ACOMPANHAMENTO="BM"),ROUND(U54,4),U55/$S53)</f>
        <v>#VALUE!</v>
      </c>
      <c r="V53" s="188" t="e" cm="1">
        <f t="array" aca="1" ref="V53" ca="1">IF(AND($R53=2,ACOMPANHAMENTO="BM"),ROUND(V54,4),V55/$S53)</f>
        <v>#VALUE!</v>
      </c>
      <c r="W53" s="188" t="e" cm="1">
        <f t="array" aca="1" ref="W53" ca="1">IF(AND($R53=2,ACOMPANHAMENTO="BM"),ROUND(W54,4),W55/$S53)</f>
        <v>#VALUE!</v>
      </c>
      <c r="X53" s="188" t="e" cm="1">
        <f t="array" aca="1" ref="X53" ca="1">IF(AND($R53=2,ACOMPANHAMENTO="BM"),ROUND(X54,4),X55/$S53)</f>
        <v>#VALUE!</v>
      </c>
      <c r="Y53" s="188" t="e" cm="1">
        <f t="array" aca="1" ref="Y53" ca="1">IF(AND($R53=2,ACOMPANHAMENTO="BM"),ROUND(Y54,4),Y55/$S53)</f>
        <v>#VALUE!</v>
      </c>
      <c r="Z53" s="188" t="e" cm="1">
        <f t="array" aca="1" ref="Z53" ca="1">IF(AND($R53=2,ACOMPANHAMENTO="BM"),ROUND(Z54,4),Z55/$S53)</f>
        <v>#VALUE!</v>
      </c>
      <c r="AA53" s="188" t="e" cm="1">
        <f t="array" aca="1" ref="AA53" ca="1">IF(AND($R53=2,ACOMPANHAMENTO="BM"),ROUND(AA54,4),AA55/$S53)</f>
        <v>#VALUE!</v>
      </c>
      <c r="AB53" s="188" t="e" cm="1">
        <f t="array" aca="1" ref="AB53" ca="1">IF(AND($R53=2,ACOMPANHAMENTO="BM"),ROUND(AB54,4),AB55/$S53)</f>
        <v>#VALUE!</v>
      </c>
      <c r="AC53" s="188" t="e" cm="1">
        <f t="array" aca="1" ref="AC53" ca="1">IF(AND($R53=2,ACOMPANHAMENTO="BM"),ROUND(AC54,4),AC55/$S53)</f>
        <v>#VALUE!</v>
      </c>
      <c r="AD53" s="188" t="e" cm="1">
        <f t="array" aca="1" ref="AD53" ca="1">IF(AND($R53=2,ACOMPANHAMENTO="BM"),ROUND(AD54,4),AD55/$S53)</f>
        <v>#VALUE!</v>
      </c>
      <c r="AE53" s="188" t="e" cm="1">
        <f t="array" aca="1" ref="AE53" ca="1">IF(AND($R53=2,ACOMPANHAMENTO="BM"),ROUND(AE54,4),AE55/$S53)</f>
        <v>#VALUE!</v>
      </c>
      <c r="AF53" s="188" t="e" cm="1">
        <f t="array" aca="1" ref="AF53" ca="1">IF(AND($R53=2,ACOMPANHAMENTO="BM"),ROUND(AF54,4),AF55/$S53)</f>
        <v>#VALUE!</v>
      </c>
      <c r="AG53" s="534"/>
    </row>
    <row r="54" spans="1:33" ht="12.75" customHeight="1" x14ac:dyDescent="0.2">
      <c r="E54" s="587"/>
      <c r="F54" s="185">
        <f ca="1">IF(ISERROR(F53),IF(1+COUNTIF($M$13:OFFSET(M53,-1,0),1)&lt;=MAX(QCI!$D$13:$D$24),1+COUNTIF($M$13:OFFSET(M53,-1,0),1),-1),0)</f>
        <v>-1</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SUMIF(CÁLCULO!$AM$15:$AW$22,CRONO!E$12,CÁLCULO!$AB$15:$AL$22)/(ORÇAMENTO!$X$15-CÁLCULO.TotalAdmLocal)*CRONO!$F55,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SUMIF(CÁLCULO!$AM$15:$AW$22,CRONO!U$12,CÁLCULO!$AB$15:$AL$22)/(ORÇAMENTO!$X$15-CÁLCULO.TotalAdmLocal)*CRONO!$F55,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SUMIF(CÁLCULO!$AM$15:$AW$22,CRONO!V$12,CÁLCULO!$AB$15:$AL$22)/(ORÇAMENTO!$X$15-CÁLCULO.TotalAdmLocal)*CRONO!$F55,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SUMIF(CÁLCULO!$AM$15:$AW$22,CRONO!W$12,CÁLCULO!$AB$15:$AL$22)/(ORÇAMENTO!$X$15-CÁLCULO.TotalAdmLocal)*CRONO!$F55,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SUMIF(CÁLCULO!$AM$15:$AW$22,CRONO!X$12,CÁLCULO!$AB$15:$AL$22)/(ORÇAMENTO!$X$15-CÁLCULO.TotalAdmLocal)*CRONO!$F55,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SUMIF(CÁLCULO!$AM$15:$AW$22,CRONO!Y$12,CÁLCULO!$AB$15:$AL$22)/(ORÇAMENTO!$X$15-CÁLCULO.TotalAdmLocal)*CRONO!$F55,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SUMIF(CÁLCULO!$AM$15:$AW$22,CRONO!Z$12,CÁLCULO!$AB$15:$AL$22)/(ORÇAMENTO!$X$15-CÁLCULO.TotalAdmLocal)*CRONO!$F55,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SUMIF(CÁLCULO!$AM$15:$AW$22,CRONO!AA$12,CÁLCULO!$AB$15:$AL$22)/(ORÇAMENTO!$X$15-CÁLCULO.TotalAdmLocal)*CRONO!$F55,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SUMIF(CÁLCULO!$AM$15:$AW$22,CRONO!AB$12,CÁLCULO!$AB$15:$AL$22)/(ORÇAMENTO!$X$15-CÁLCULO.TotalAdmLocal)*CRONO!$F55,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SUMIF(CÁLCULO!$AM$15:$AW$22,CRONO!AC$12,CÁLCULO!$AB$15:$AL$22)/(ORÇAMENTO!$X$15-CÁLCULO.TotalAdmLocal)*CRONO!$F55,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SUMIF(CÁLCULO!$AM$15:$AW$22,CRONO!AD$12,CÁLCULO!$AB$15:$AL$22)/(ORÇAMENTO!$X$15-CÁLCULO.TotalAdmLocal)*CRONO!$F55,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SUMIF(CÁLCULO!$AM$15:$AW$22,CRONO!AE$12,CÁLCULO!$AB$15:$AL$22)/(ORÇAMENTO!$X$15-CÁLCULO.TotalAdmLocal)*CRONO!$F55,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SUMIF(CÁLCULO!$AM$15:$AW$22,CRONO!AF$12,CÁLCULO!$AB$15:$AL$22)/(ORÇAMENTO!$X$15-CÁLCULO.TotalAdmLocal)*CRONO!$F55,
                        0),
                 AF54*$S53),
          SUMIF(OFFSET($S55,1,0,$R53-2),($M53+1)&amp;"$",OFFSET(AF55,1,0,$R53-2)))</f>
        <v>0</v>
      </c>
      <c r="AG55" s="534"/>
    </row>
    <row r="56" spans="1:33" x14ac:dyDescent="0.2">
      <c r="A56" s="186" t="str">
        <f t="shared" ref="A56" ca="1" si="86">IF($M56&gt;1,_xlfn.CONCAT($I56," ",$J56),"")</f>
        <v/>
      </c>
      <c r="B56" s="185">
        <f t="shared" ref="B56" ca="1" si="87">OFFSET(B56,-3,0)+1</f>
        <v>15</v>
      </c>
      <c r="C56" s="185">
        <f ca="1">IF($R56&lt;&gt;2,0,IF($S56=0,1,IF(F57&gt;0,OFFSET(QCI!$M$13,SUBSTITUTE(F57,".",""),0),OFFSET(ORÇAMENTO!$AA$15,CRONO!$F56,0))/$S56))</f>
        <v>0</v>
      </c>
      <c r="D56" s="185">
        <f ca="1">IF($R56&lt;&gt;2,0,IF($S56=0,1,IF(F57&gt;0,OFFSET(QCI!$N$13,SUBSTITUTE(F57,".",""),0),OFFSET(ORÇAMENTO!$AB$15,CRONO!$F56,0))/$S56))</f>
        <v>0</v>
      </c>
      <c r="E56" s="188" t="e" cm="1">
        <f t="array" aca="1" ref="E56" ca="1">IF(AND($R56=2,ACOMPANHAMENTO="BM"),ROUND(E57,4),E58/$S56)</f>
        <v>#VALUE!</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t="str">
        <f ca="1">IF($F57=0,OFFSET(ORÇAMENTO!O$15,$F56,0),IF($F57&lt;&gt;-1,OFFSET(QCI!$D$13,$F57,0),""))</f>
        <v/>
      </c>
      <c r="J56" s="191" t="str">
        <f ca="1">IF($F57=0,OFFSET(ORÇAMENTO!R$15,$F56,0),IF($F57&lt;&gt;-1,OFFSET(QCI!$G$13,$F57,0),""))</f>
        <v/>
      </c>
      <c r="K56" s="191"/>
      <c r="L56" s="191"/>
      <c r="M56" s="192">
        <f ca="1">IF($F57=0,OFFSET(ORÇAMENTO!C$15,$F56,0),1)</f>
        <v>1</v>
      </c>
      <c r="N56" s="193">
        <f ca="1">IF($F57=-1,0,IF(N$13&lt;=$M56,IF(ISERROR(MATCH(N$13,OFFSET($M56,1,0,ROW($M$164)-ROW($M56)-1),0)),ROW($M$164)-ROW($M56)-1,MATCH(N$13,OFFSET($M56,1,0,ROW($M$164)-ROW($M56)-1),0)-1),0))</f>
        <v>0</v>
      </c>
      <c r="O56" s="193">
        <f ca="1">IF($F57=-1,0,IF(O$13&lt;=$M56,IF(ISERROR(MATCH(O$13,OFFSET($M56,1,0,ROW($M$164)-ROW($M56)-1),0)),ROW($M$164)-ROW($M56)-1,MATCH(O$13,OFFSET($M56,1,0,ROW($M$164)-ROW($M56)-1),0)-1),0))</f>
        <v>0</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0</v>
      </c>
      <c r="S56" s="194" t="str">
        <f ca="1">IF($F57=0,OFFSET(ORÇAMENTO!X$15,$F56,0),IF($F57&lt;&gt;-1,OFFSET(QCI!$O$13,$F57,0),""))</f>
        <v/>
      </c>
      <c r="T56" s="195" t="s">
        <v>785</v>
      </c>
      <c r="U56" s="188" t="e" cm="1">
        <f t="array" aca="1" ref="U56" ca="1">IF(AND($R56=2,ACOMPANHAMENTO="BM"),ROUND(U57,4),U58/$S56)</f>
        <v>#VALUE!</v>
      </c>
      <c r="V56" s="188" t="e" cm="1">
        <f t="array" aca="1" ref="V56" ca="1">IF(AND($R56=2,ACOMPANHAMENTO="BM"),ROUND(V57,4),V58/$S56)</f>
        <v>#VALUE!</v>
      </c>
      <c r="W56" s="188" t="e" cm="1">
        <f t="array" aca="1" ref="W56" ca="1">IF(AND($R56=2,ACOMPANHAMENTO="BM"),ROUND(W57,4),W58/$S56)</f>
        <v>#VALUE!</v>
      </c>
      <c r="X56" s="188" t="e" cm="1">
        <f t="array" aca="1" ref="X56" ca="1">IF(AND($R56=2,ACOMPANHAMENTO="BM"),ROUND(X57,4),X58/$S56)</f>
        <v>#VALUE!</v>
      </c>
      <c r="Y56" s="188" t="e" cm="1">
        <f t="array" aca="1" ref="Y56" ca="1">IF(AND($R56=2,ACOMPANHAMENTO="BM"),ROUND(Y57,4),Y58/$S56)</f>
        <v>#VALUE!</v>
      </c>
      <c r="Z56" s="188" t="e" cm="1">
        <f t="array" aca="1" ref="Z56" ca="1">IF(AND($R56=2,ACOMPANHAMENTO="BM"),ROUND(Z57,4),Z58/$S56)</f>
        <v>#VALUE!</v>
      </c>
      <c r="AA56" s="188" t="e" cm="1">
        <f t="array" aca="1" ref="AA56" ca="1">IF(AND($R56=2,ACOMPANHAMENTO="BM"),ROUND(AA57,4),AA58/$S56)</f>
        <v>#VALUE!</v>
      </c>
      <c r="AB56" s="188" t="e" cm="1">
        <f t="array" aca="1" ref="AB56" ca="1">IF(AND($R56=2,ACOMPANHAMENTO="BM"),ROUND(AB57,4),AB58/$S56)</f>
        <v>#VALUE!</v>
      </c>
      <c r="AC56" s="188" t="e" cm="1">
        <f t="array" aca="1" ref="AC56" ca="1">IF(AND($R56=2,ACOMPANHAMENTO="BM"),ROUND(AC57,4),AC58/$S56)</f>
        <v>#VALUE!</v>
      </c>
      <c r="AD56" s="188" t="e" cm="1">
        <f t="array" aca="1" ref="AD56" ca="1">IF(AND($R56=2,ACOMPANHAMENTO="BM"),ROUND(AD57,4),AD58/$S56)</f>
        <v>#VALUE!</v>
      </c>
      <c r="AE56" s="188" t="e" cm="1">
        <f t="array" aca="1" ref="AE56" ca="1">IF(AND($R56=2,ACOMPANHAMENTO="BM"),ROUND(AE57,4),AE58/$S56)</f>
        <v>#VALUE!</v>
      </c>
      <c r="AF56" s="188" t="e" cm="1">
        <f t="array" aca="1" ref="AF56" ca="1">IF(AND($R56=2,ACOMPANHAMENTO="BM"),ROUND(AF57,4),AF58/$S56)</f>
        <v>#VALUE!</v>
      </c>
      <c r="AG56" s="534"/>
    </row>
    <row r="57" spans="1:33" ht="12.75" customHeight="1" x14ac:dyDescent="0.2">
      <c r="E57" s="587"/>
      <c r="F57" s="185">
        <f ca="1">IF(ISERROR(F56),IF(1+COUNTIF($M$13:OFFSET(M56,-1,0),1)&lt;=MAX(QCI!$D$13:$D$24),1+COUNTIF($M$13:OFFSET(M56,-1,0),1),-1),0)</f>
        <v>-1</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SUMIF(CÁLCULO!$AM$15:$AW$22,CRONO!E$12,CÁLCULO!$AB$15:$AL$22)/(ORÇAMENTO!$X$15-CÁLCULO.TotalAdmLocal)*CRONO!$F58,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SUMIF(CÁLCULO!$AM$15:$AW$22,CRONO!U$12,CÁLCULO!$AB$15:$AL$22)/(ORÇAMENTO!$X$15-CÁLCULO.TotalAdmLocal)*CRONO!$F58,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SUMIF(CÁLCULO!$AM$15:$AW$22,CRONO!V$12,CÁLCULO!$AB$15:$AL$22)/(ORÇAMENTO!$X$15-CÁLCULO.TotalAdmLocal)*CRONO!$F58,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SUMIF(CÁLCULO!$AM$15:$AW$22,CRONO!W$12,CÁLCULO!$AB$15:$AL$22)/(ORÇAMENTO!$X$15-CÁLCULO.TotalAdmLocal)*CRONO!$F58,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SUMIF(CÁLCULO!$AM$15:$AW$22,CRONO!X$12,CÁLCULO!$AB$15:$AL$22)/(ORÇAMENTO!$X$15-CÁLCULO.TotalAdmLocal)*CRONO!$F58,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SUMIF(CÁLCULO!$AM$15:$AW$22,CRONO!Y$12,CÁLCULO!$AB$15:$AL$22)/(ORÇAMENTO!$X$15-CÁLCULO.TotalAdmLocal)*CRONO!$F58,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SUMIF(CÁLCULO!$AM$15:$AW$22,CRONO!Z$12,CÁLCULO!$AB$15:$AL$22)/(ORÇAMENTO!$X$15-CÁLCULO.TotalAdmLocal)*CRONO!$F58,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SUMIF(CÁLCULO!$AM$15:$AW$22,CRONO!AA$12,CÁLCULO!$AB$15:$AL$22)/(ORÇAMENTO!$X$15-CÁLCULO.TotalAdmLocal)*CRONO!$F58,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SUMIF(CÁLCULO!$AM$15:$AW$22,CRONO!AB$12,CÁLCULO!$AB$15:$AL$22)/(ORÇAMENTO!$X$15-CÁLCULO.TotalAdmLocal)*CRONO!$F58,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SUMIF(CÁLCULO!$AM$15:$AW$22,CRONO!AC$12,CÁLCULO!$AB$15:$AL$22)/(ORÇAMENTO!$X$15-CÁLCULO.TotalAdmLocal)*CRONO!$F58,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SUMIF(CÁLCULO!$AM$15:$AW$22,CRONO!AD$12,CÁLCULO!$AB$15:$AL$22)/(ORÇAMENTO!$X$15-CÁLCULO.TotalAdmLocal)*CRONO!$F58,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SUMIF(CÁLCULO!$AM$15:$AW$22,CRONO!AE$12,CÁLCULO!$AB$15:$AL$22)/(ORÇAMENTO!$X$15-CÁLCULO.TotalAdmLocal)*CRONO!$F58,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SUMIF(CÁLCULO!$AM$15:$AW$22,CRONO!AF$12,CÁLCULO!$AB$15:$AL$22)/(ORÇAMENTO!$X$15-CÁLCULO.TotalAdmLocal)*CRONO!$F58,
                        0),
                 AF57*$S56),
          SUMIF(OFFSET($S58,1,0,$R56-2),($M56+1)&amp;"$",OFFSET(AF58,1,0,$R56-2)))</f>
        <v>0</v>
      </c>
      <c r="AG58" s="534"/>
    </row>
    <row r="59" spans="1:33" x14ac:dyDescent="0.2">
      <c r="A59" s="186" t="str">
        <f t="shared" ref="A59" ca="1" si="92">IF($M59&gt;1,_xlfn.CONCAT($I59," ",$J59),"")</f>
        <v/>
      </c>
      <c r="B59" s="185">
        <f t="shared" ref="B59" ca="1" si="93">OFFSET(B59,-3,0)+1</f>
        <v>16</v>
      </c>
      <c r="C59" s="185">
        <f ca="1">IF($R59&lt;&gt;2,0,IF($S59=0,1,IF(F60&gt;0,OFFSET(QCI!$M$13,SUBSTITUTE(F60,".",""),0),OFFSET(ORÇAMENTO!$AA$15,CRONO!$F59,0))/$S59))</f>
        <v>0</v>
      </c>
      <c r="D59" s="185">
        <f ca="1">IF($R59&lt;&gt;2,0,IF($S59=0,1,IF(F60&gt;0,OFFSET(QCI!$N$13,SUBSTITUTE(F60,".",""),0),OFFSET(ORÇAMENTO!$AB$15,CRONO!$F59,0))/$S59))</f>
        <v>0</v>
      </c>
      <c r="E59" s="188" t="e" cm="1">
        <f t="array" aca="1" ref="E59" ca="1">IF(AND($R59=2,ACOMPANHAMENTO="BM"),ROUND(E60,4),E61/$S59)</f>
        <v>#VALUE!</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t="str">
        <f ca="1">IF($F60=0,OFFSET(ORÇAMENTO!O$15,$F59,0),IF($F60&lt;&gt;-1,OFFSET(QCI!$D$13,$F60,0),""))</f>
        <v/>
      </c>
      <c r="J59" s="191" t="str">
        <f ca="1">IF($F60=0,OFFSET(ORÇAMENTO!R$15,$F59,0),IF($F60&lt;&gt;-1,OFFSET(QCI!$G$13,$F60,0),""))</f>
        <v/>
      </c>
      <c r="K59" s="191"/>
      <c r="L59" s="191"/>
      <c r="M59" s="192">
        <f ca="1">IF($F60=0,OFFSET(ORÇAMENTO!C$15,$F59,0),1)</f>
        <v>1</v>
      </c>
      <c r="N59" s="193">
        <f ca="1">IF($F60=-1,0,IF(N$13&lt;=$M59,IF(ISERROR(MATCH(N$13,OFFSET($M59,1,0,ROW($M$164)-ROW($M59)-1),0)),ROW($M$164)-ROW($M59)-1,MATCH(N$13,OFFSET($M59,1,0,ROW($M$164)-ROW($M59)-1),0)-1),0))</f>
        <v>0</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0</v>
      </c>
      <c r="S59" s="194" t="str">
        <f ca="1">IF($F60=0,OFFSET(ORÇAMENTO!X$15,$F59,0),IF($F60&lt;&gt;-1,OFFSET(QCI!$O$13,$F60,0),""))</f>
        <v/>
      </c>
      <c r="T59" s="195" t="s">
        <v>785</v>
      </c>
      <c r="U59" s="188" t="e" cm="1">
        <f t="array" aca="1" ref="U59" ca="1">IF(AND($R59=2,ACOMPANHAMENTO="BM"),ROUND(U60,4),U61/$S59)</f>
        <v>#VALUE!</v>
      </c>
      <c r="V59" s="188" t="e" cm="1">
        <f t="array" aca="1" ref="V59" ca="1">IF(AND($R59=2,ACOMPANHAMENTO="BM"),ROUND(V60,4),V61/$S59)</f>
        <v>#VALUE!</v>
      </c>
      <c r="W59" s="188" t="e" cm="1">
        <f t="array" aca="1" ref="W59" ca="1">IF(AND($R59=2,ACOMPANHAMENTO="BM"),ROUND(W60,4),W61/$S59)</f>
        <v>#VALUE!</v>
      </c>
      <c r="X59" s="188" t="e" cm="1">
        <f t="array" aca="1" ref="X59" ca="1">IF(AND($R59=2,ACOMPANHAMENTO="BM"),ROUND(X60,4),X61/$S59)</f>
        <v>#VALUE!</v>
      </c>
      <c r="Y59" s="188" t="e" cm="1">
        <f t="array" aca="1" ref="Y59" ca="1">IF(AND($R59=2,ACOMPANHAMENTO="BM"),ROUND(Y60,4),Y61/$S59)</f>
        <v>#VALUE!</v>
      </c>
      <c r="Z59" s="188" t="e" cm="1">
        <f t="array" aca="1" ref="Z59" ca="1">IF(AND($R59=2,ACOMPANHAMENTO="BM"),ROUND(Z60,4),Z61/$S59)</f>
        <v>#VALUE!</v>
      </c>
      <c r="AA59" s="188" t="e" cm="1">
        <f t="array" aca="1" ref="AA59" ca="1">IF(AND($R59=2,ACOMPANHAMENTO="BM"),ROUND(AA60,4),AA61/$S59)</f>
        <v>#VALUE!</v>
      </c>
      <c r="AB59" s="188" t="e" cm="1">
        <f t="array" aca="1" ref="AB59" ca="1">IF(AND($R59=2,ACOMPANHAMENTO="BM"),ROUND(AB60,4),AB61/$S59)</f>
        <v>#VALUE!</v>
      </c>
      <c r="AC59" s="188" t="e" cm="1">
        <f t="array" aca="1" ref="AC59" ca="1">IF(AND($R59=2,ACOMPANHAMENTO="BM"),ROUND(AC60,4),AC61/$S59)</f>
        <v>#VALUE!</v>
      </c>
      <c r="AD59" s="188" t="e" cm="1">
        <f t="array" aca="1" ref="AD59" ca="1">IF(AND($R59=2,ACOMPANHAMENTO="BM"),ROUND(AD60,4),AD61/$S59)</f>
        <v>#VALUE!</v>
      </c>
      <c r="AE59" s="188" t="e" cm="1">
        <f t="array" aca="1" ref="AE59" ca="1">IF(AND($R59=2,ACOMPANHAMENTO="BM"),ROUND(AE60,4),AE61/$S59)</f>
        <v>#VALUE!</v>
      </c>
      <c r="AF59" s="188" t="e" cm="1">
        <f t="array" aca="1" ref="AF59" ca="1">IF(AND($R59=2,ACOMPANHAMENTO="BM"),ROUND(AF60,4),AF61/$S59)</f>
        <v>#VALUE!</v>
      </c>
      <c r="AG59" s="534"/>
    </row>
    <row r="60" spans="1:33" ht="12.75" customHeight="1" x14ac:dyDescent="0.2">
      <c r="E60" s="587"/>
      <c r="F60" s="185">
        <f ca="1">IF(ISERROR(F59),IF(1+COUNTIF($M$13:OFFSET(M59,-1,0),1)&lt;=MAX(QCI!$D$13:$D$24),1+COUNTIF($M$13:OFFSET(M59,-1,0),1),-1),0)</f>
        <v>-1</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SUMIF(CÁLCULO!$AM$15:$AW$22,CRONO!E$12,CÁLCULO!$AB$15:$AL$22)/(ORÇAMENTO!$X$15-CÁLCULO.TotalAdmLocal)*CRONO!$F61,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SUMIF(CÁLCULO!$AM$15:$AW$22,CRONO!U$12,CÁLCULO!$AB$15:$AL$22)/(ORÇAMENTO!$X$15-CÁLCULO.TotalAdmLocal)*CRONO!$F61,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SUMIF(CÁLCULO!$AM$15:$AW$22,CRONO!V$12,CÁLCULO!$AB$15:$AL$22)/(ORÇAMENTO!$X$15-CÁLCULO.TotalAdmLocal)*CRONO!$F61,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SUMIF(CÁLCULO!$AM$15:$AW$22,CRONO!W$12,CÁLCULO!$AB$15:$AL$22)/(ORÇAMENTO!$X$15-CÁLCULO.TotalAdmLocal)*CRONO!$F61,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SUMIF(CÁLCULO!$AM$15:$AW$22,CRONO!X$12,CÁLCULO!$AB$15:$AL$22)/(ORÇAMENTO!$X$15-CÁLCULO.TotalAdmLocal)*CRONO!$F61,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SUMIF(CÁLCULO!$AM$15:$AW$22,CRONO!Y$12,CÁLCULO!$AB$15:$AL$22)/(ORÇAMENTO!$X$15-CÁLCULO.TotalAdmLocal)*CRONO!$F61,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SUMIF(CÁLCULO!$AM$15:$AW$22,CRONO!Z$12,CÁLCULO!$AB$15:$AL$22)/(ORÇAMENTO!$X$15-CÁLCULO.TotalAdmLocal)*CRONO!$F61,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SUMIF(CÁLCULO!$AM$15:$AW$22,CRONO!AA$12,CÁLCULO!$AB$15:$AL$22)/(ORÇAMENTO!$X$15-CÁLCULO.TotalAdmLocal)*CRONO!$F61,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SUMIF(CÁLCULO!$AM$15:$AW$22,CRONO!AB$12,CÁLCULO!$AB$15:$AL$22)/(ORÇAMENTO!$X$15-CÁLCULO.TotalAdmLocal)*CRONO!$F61,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SUMIF(CÁLCULO!$AM$15:$AW$22,CRONO!AC$12,CÁLCULO!$AB$15:$AL$22)/(ORÇAMENTO!$X$15-CÁLCULO.TotalAdmLocal)*CRONO!$F61,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SUMIF(CÁLCULO!$AM$15:$AW$22,CRONO!AD$12,CÁLCULO!$AB$15:$AL$22)/(ORÇAMENTO!$X$15-CÁLCULO.TotalAdmLocal)*CRONO!$F61,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SUMIF(CÁLCULO!$AM$15:$AW$22,CRONO!AE$12,CÁLCULO!$AB$15:$AL$22)/(ORÇAMENTO!$X$15-CÁLCULO.TotalAdmLocal)*CRONO!$F61,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SUMIF(CÁLCULO!$AM$15:$AW$22,CRONO!AF$12,CÁLCULO!$AB$15:$AL$22)/(ORÇAMENTO!$X$15-CÁLCULO.TotalAdmLocal)*CRONO!$F61,
                        0),
                 AF60*$S59),
          SUMIF(OFFSET($S61,1,0,$R59-2),($M59+1)&amp;"$",OFFSET(AF61,1,0,$R59-2)))</f>
        <v>0</v>
      </c>
      <c r="AG61" s="534"/>
    </row>
    <row r="62" spans="1:33" x14ac:dyDescent="0.2">
      <c r="A62" s="186" t="str">
        <f t="shared" ref="A62" ca="1" si="98">IF($M62&gt;1,_xlfn.CONCAT($I62," ",$J62),"")</f>
        <v/>
      </c>
      <c r="B62" s="185">
        <f t="shared" ref="B62" ca="1" si="99">OFFSET(B62,-3,0)+1</f>
        <v>17</v>
      </c>
      <c r="C62" s="185">
        <f ca="1">IF($R62&lt;&gt;2,0,IF($S62=0,1,IF(F63&gt;0,OFFSET(QCI!$M$13,SUBSTITUTE(F63,".",""),0),OFFSET(ORÇAMENTO!$AA$15,CRONO!$F62,0))/$S62))</f>
        <v>0</v>
      </c>
      <c r="D62" s="185">
        <f ca="1">IF($R62&lt;&gt;2,0,IF($S62=0,1,IF(F63&gt;0,OFFSET(QCI!$N$13,SUBSTITUTE(F63,".",""),0),OFFSET(ORÇAMENTO!$AB$15,CRONO!$F62,0))/$S62))</f>
        <v>0</v>
      </c>
      <c r="E62" s="188" t="e" cm="1">
        <f t="array" aca="1" ref="E62" ca="1">IF(AND($R62=2,ACOMPANHAMENTO="BM"),ROUND(E63,4),E64/$S62)</f>
        <v>#VALUE!</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
      </c>
      <c r="J62" s="191" t="str">
        <f ca="1">IF($F63=0,OFFSET(ORÇAMENTO!R$15,$F62,0),IF($F63&lt;&gt;-1,OFFSET(QCI!$G$13,$F63,0),""))</f>
        <v/>
      </c>
      <c r="K62" s="191"/>
      <c r="L62" s="191"/>
      <c r="M62" s="192">
        <f ca="1">IF($F63=0,OFFSET(ORÇAMENTO!C$15,$F62,0),1)</f>
        <v>1</v>
      </c>
      <c r="N62" s="193">
        <f ca="1">IF($F63=-1,0,IF(N$13&lt;=$M62,IF(ISERROR(MATCH(N$13,OFFSET($M62,1,0,ROW($M$164)-ROW($M62)-1),0)),ROW($M$164)-ROW($M62)-1,MATCH(N$13,OFFSET($M62,1,0,ROW($M$164)-ROW($M62)-1),0)-1),0))</f>
        <v>0</v>
      </c>
      <c r="O62" s="193">
        <f ca="1">IF($F63=-1,0,IF(O$13&lt;=$M62,IF(ISERROR(MATCH(O$13,OFFSET($M62,1,0,ROW($M$164)-ROW($M62)-1),0)),ROW($M$164)-ROW($M62)-1,MATCH(O$13,OFFSET($M62,1,0,ROW($M$164)-ROW($M62)-1),0)-1),0))</f>
        <v>0</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0</v>
      </c>
      <c r="S62" s="194" t="str">
        <f ca="1">IF($F63=0,OFFSET(ORÇAMENTO!X$15,$F62,0),IF($F63&lt;&gt;-1,OFFSET(QCI!$O$13,$F63,0),""))</f>
        <v/>
      </c>
      <c r="T62" s="195" t="s">
        <v>785</v>
      </c>
      <c r="U62" s="188" t="e" cm="1">
        <f t="array" aca="1" ref="U62" ca="1">IF(AND($R62=2,ACOMPANHAMENTO="BM"),ROUND(U63,4),U64/$S62)</f>
        <v>#VALUE!</v>
      </c>
      <c r="V62" s="188" t="e" cm="1">
        <f t="array" aca="1" ref="V62" ca="1">IF(AND($R62=2,ACOMPANHAMENTO="BM"),ROUND(V63,4),V64/$S62)</f>
        <v>#VALUE!</v>
      </c>
      <c r="W62" s="188" t="e" cm="1">
        <f t="array" aca="1" ref="W62" ca="1">IF(AND($R62=2,ACOMPANHAMENTO="BM"),ROUND(W63,4),W64/$S62)</f>
        <v>#VALUE!</v>
      </c>
      <c r="X62" s="188" t="e" cm="1">
        <f t="array" aca="1" ref="X62" ca="1">IF(AND($R62=2,ACOMPANHAMENTO="BM"),ROUND(X63,4),X64/$S62)</f>
        <v>#VALUE!</v>
      </c>
      <c r="Y62" s="188" t="e" cm="1">
        <f t="array" aca="1" ref="Y62" ca="1">IF(AND($R62=2,ACOMPANHAMENTO="BM"),ROUND(Y63,4),Y64/$S62)</f>
        <v>#VALUE!</v>
      </c>
      <c r="Z62" s="188" t="e" cm="1">
        <f t="array" aca="1" ref="Z62" ca="1">IF(AND($R62=2,ACOMPANHAMENTO="BM"),ROUND(Z63,4),Z64/$S62)</f>
        <v>#VALUE!</v>
      </c>
      <c r="AA62" s="188" t="e" cm="1">
        <f t="array" aca="1" ref="AA62" ca="1">IF(AND($R62=2,ACOMPANHAMENTO="BM"),ROUND(AA63,4),AA64/$S62)</f>
        <v>#VALUE!</v>
      </c>
      <c r="AB62" s="188" t="e" cm="1">
        <f t="array" aca="1" ref="AB62" ca="1">IF(AND($R62=2,ACOMPANHAMENTO="BM"),ROUND(AB63,4),AB64/$S62)</f>
        <v>#VALUE!</v>
      </c>
      <c r="AC62" s="188" t="e" cm="1">
        <f t="array" aca="1" ref="AC62" ca="1">IF(AND($R62=2,ACOMPANHAMENTO="BM"),ROUND(AC63,4),AC64/$S62)</f>
        <v>#VALUE!</v>
      </c>
      <c r="AD62" s="188" t="e" cm="1">
        <f t="array" aca="1" ref="AD62" ca="1">IF(AND($R62=2,ACOMPANHAMENTO="BM"),ROUND(AD63,4),AD64/$S62)</f>
        <v>#VALUE!</v>
      </c>
      <c r="AE62" s="188" t="e" cm="1">
        <f t="array" aca="1" ref="AE62" ca="1">IF(AND($R62=2,ACOMPANHAMENTO="BM"),ROUND(AE63,4),AE64/$S62)</f>
        <v>#VALUE!</v>
      </c>
      <c r="AF62" s="188" t="e" cm="1">
        <f t="array" aca="1" ref="AF62" ca="1">IF(AND($R62=2,ACOMPANHAMENTO="BM"),ROUND(AF63,4),AF64/$S62)</f>
        <v>#VALUE!</v>
      </c>
      <c r="AG62" s="534"/>
    </row>
    <row r="63" spans="1:33" ht="12.75" customHeight="1" x14ac:dyDescent="0.2">
      <c r="E63" s="587"/>
      <c r="F63" s="185">
        <f ca="1">IF(ISERROR(F62),IF(1+COUNTIF($M$13:OFFSET(M62,-1,0),1)&lt;=MAX(QCI!$D$13:$D$24),1+COUNTIF($M$13:OFFSET(M62,-1,0),1),-1),0)</f>
        <v>-1</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SUMIF(CÁLCULO!$AM$15:$AW$22,CRONO!E$12,CÁLCULO!$AB$15:$AL$22)/(ORÇAMENTO!$X$15-CÁLCULO.TotalAdmLocal)*CRONO!$F64,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SUMIF(CÁLCULO!$AM$15:$AW$22,CRONO!U$12,CÁLCULO!$AB$15:$AL$22)/(ORÇAMENTO!$X$15-CÁLCULO.TotalAdmLocal)*CRONO!$F64,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SUMIF(CÁLCULO!$AM$15:$AW$22,CRONO!V$12,CÁLCULO!$AB$15:$AL$22)/(ORÇAMENTO!$X$15-CÁLCULO.TotalAdmLocal)*CRONO!$F64,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SUMIF(CÁLCULO!$AM$15:$AW$22,CRONO!W$12,CÁLCULO!$AB$15:$AL$22)/(ORÇAMENTO!$X$15-CÁLCULO.TotalAdmLocal)*CRONO!$F64,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SUMIF(CÁLCULO!$AM$15:$AW$22,CRONO!X$12,CÁLCULO!$AB$15:$AL$22)/(ORÇAMENTO!$X$15-CÁLCULO.TotalAdmLocal)*CRONO!$F64,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SUMIF(CÁLCULO!$AM$15:$AW$22,CRONO!Y$12,CÁLCULO!$AB$15:$AL$22)/(ORÇAMENTO!$X$15-CÁLCULO.TotalAdmLocal)*CRONO!$F64,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SUMIF(CÁLCULO!$AM$15:$AW$22,CRONO!Z$12,CÁLCULO!$AB$15:$AL$22)/(ORÇAMENTO!$X$15-CÁLCULO.TotalAdmLocal)*CRONO!$F64,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SUMIF(CÁLCULO!$AM$15:$AW$22,CRONO!AA$12,CÁLCULO!$AB$15:$AL$22)/(ORÇAMENTO!$X$15-CÁLCULO.TotalAdmLocal)*CRONO!$F64,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SUMIF(CÁLCULO!$AM$15:$AW$22,CRONO!AB$12,CÁLCULO!$AB$15:$AL$22)/(ORÇAMENTO!$X$15-CÁLCULO.TotalAdmLocal)*CRONO!$F64,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SUMIF(CÁLCULO!$AM$15:$AW$22,CRONO!AC$12,CÁLCULO!$AB$15:$AL$22)/(ORÇAMENTO!$X$15-CÁLCULO.TotalAdmLocal)*CRONO!$F64,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SUMIF(CÁLCULO!$AM$15:$AW$22,CRONO!AD$12,CÁLCULO!$AB$15:$AL$22)/(ORÇAMENTO!$X$15-CÁLCULO.TotalAdmLocal)*CRONO!$F64,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SUMIF(CÁLCULO!$AM$15:$AW$22,CRONO!AE$12,CÁLCULO!$AB$15:$AL$22)/(ORÇAMENTO!$X$15-CÁLCULO.TotalAdmLocal)*CRONO!$F64,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SUMIF(CÁLCULO!$AM$15:$AW$22,CRONO!AF$12,CÁLCULO!$AB$15:$AL$22)/(ORÇAMENTO!$X$15-CÁLCULO.TotalAdmLocal)*CRONO!$F64,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t="e" cm="1">
        <f t="array" aca="1" ref="E65" ca="1">IF(AND($R65=2,ACOMPANHAMENTO="BM"),ROUND(E66,4),E67/$S65)</f>
        <v>#VALUE!</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t="str">
        <f ca="1">IF($F66=0,OFFSET(ORÇAMENTO!O$15,$F65,0),IF($F66&lt;&gt;-1,OFFSET(QCI!$D$13,$F66,0),""))</f>
        <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0</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0</v>
      </c>
      <c r="S65" s="194" t="str">
        <f ca="1">IF($F66=0,OFFSET(ORÇAMENTO!X$15,$F65,0),IF($F66&lt;&gt;-1,OFFSET(QCI!$O$13,$F66,0),""))</f>
        <v/>
      </c>
      <c r="T65" s="195" t="s">
        <v>785</v>
      </c>
      <c r="U65" s="188" t="e" cm="1">
        <f t="array" aca="1" ref="U65" ca="1">IF(AND($R65=2,ACOMPANHAMENTO="BM"),ROUND(U66,4),U67/$S65)</f>
        <v>#VALUE!</v>
      </c>
      <c r="V65" s="188" t="e" cm="1">
        <f t="array" aca="1" ref="V65" ca="1">IF(AND($R65=2,ACOMPANHAMENTO="BM"),ROUND(V66,4),V67/$S65)</f>
        <v>#VALUE!</v>
      </c>
      <c r="W65" s="188" t="e" cm="1">
        <f t="array" aca="1" ref="W65" ca="1">IF(AND($R65=2,ACOMPANHAMENTO="BM"),ROUND(W66,4),W67/$S65)</f>
        <v>#VALUE!</v>
      </c>
      <c r="X65" s="188" t="e" cm="1">
        <f t="array" aca="1" ref="X65" ca="1">IF(AND($R65=2,ACOMPANHAMENTO="BM"),ROUND(X66,4),X67/$S65)</f>
        <v>#VALUE!</v>
      </c>
      <c r="Y65" s="188" t="e" cm="1">
        <f t="array" aca="1" ref="Y65" ca="1">IF(AND($R65=2,ACOMPANHAMENTO="BM"),ROUND(Y66,4),Y67/$S65)</f>
        <v>#VALUE!</v>
      </c>
      <c r="Z65" s="188" t="e" cm="1">
        <f t="array" aca="1" ref="Z65" ca="1">IF(AND($R65=2,ACOMPANHAMENTO="BM"),ROUND(Z66,4),Z67/$S65)</f>
        <v>#VALUE!</v>
      </c>
      <c r="AA65" s="188" t="e" cm="1">
        <f t="array" aca="1" ref="AA65" ca="1">IF(AND($R65=2,ACOMPANHAMENTO="BM"),ROUND(AA66,4),AA67/$S65)</f>
        <v>#VALUE!</v>
      </c>
      <c r="AB65" s="188" t="e" cm="1">
        <f t="array" aca="1" ref="AB65" ca="1">IF(AND($R65=2,ACOMPANHAMENTO="BM"),ROUND(AB66,4),AB67/$S65)</f>
        <v>#VALUE!</v>
      </c>
      <c r="AC65" s="188" t="e" cm="1">
        <f t="array" aca="1" ref="AC65" ca="1">IF(AND($R65=2,ACOMPANHAMENTO="BM"),ROUND(AC66,4),AC67/$S65)</f>
        <v>#VALUE!</v>
      </c>
      <c r="AD65" s="188" t="e" cm="1">
        <f t="array" aca="1" ref="AD65" ca="1">IF(AND($R65=2,ACOMPANHAMENTO="BM"),ROUND(AD66,4),AD67/$S65)</f>
        <v>#VALUE!</v>
      </c>
      <c r="AE65" s="188" t="e" cm="1">
        <f t="array" aca="1" ref="AE65" ca="1">IF(AND($R65=2,ACOMPANHAMENTO="BM"),ROUND(AE66,4),AE67/$S65)</f>
        <v>#VALUE!</v>
      </c>
      <c r="AF65" s="188" t="e" cm="1">
        <f t="array" aca="1" ref="AF65" ca="1">IF(AND($R65=2,ACOMPANHAMENTO="BM"),ROUND(AF66,4),AF67/$S65)</f>
        <v>#VALUE!</v>
      </c>
      <c r="AG65" s="534"/>
    </row>
    <row r="66" spans="1:33" ht="12.75" customHeight="1" x14ac:dyDescent="0.2">
      <c r="E66" s="587"/>
      <c r="F66" s="185">
        <f ca="1">IF(ISERROR(F65),IF(1+COUNTIF($M$13:OFFSET(M65,-1,0),1)&lt;=MAX(QCI!$D$13:$D$24),1+COUNTIF($M$13:OFFSET(M65,-1,0),1),-1),0)</f>
        <v>-1</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SUMIF(CÁLCULO!$AM$15:$AW$22,CRONO!E$12,CÁLCULO!$AB$15:$AL$22)/(ORÇAMENTO!$X$15-CÁLCULO.TotalAdmLocal)*CRONO!$F67,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SUMIF(CÁLCULO!$AM$15:$AW$22,CRONO!U$12,CÁLCULO!$AB$15:$AL$22)/(ORÇAMENTO!$X$15-CÁLCULO.TotalAdmLocal)*CRONO!$F67,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SUMIF(CÁLCULO!$AM$15:$AW$22,CRONO!V$12,CÁLCULO!$AB$15:$AL$22)/(ORÇAMENTO!$X$15-CÁLCULO.TotalAdmLocal)*CRONO!$F67,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SUMIF(CÁLCULO!$AM$15:$AW$22,CRONO!W$12,CÁLCULO!$AB$15:$AL$22)/(ORÇAMENTO!$X$15-CÁLCULO.TotalAdmLocal)*CRONO!$F67,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SUMIF(CÁLCULO!$AM$15:$AW$22,CRONO!X$12,CÁLCULO!$AB$15:$AL$22)/(ORÇAMENTO!$X$15-CÁLCULO.TotalAdmLocal)*CRONO!$F67,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SUMIF(CÁLCULO!$AM$15:$AW$22,CRONO!Y$12,CÁLCULO!$AB$15:$AL$22)/(ORÇAMENTO!$X$15-CÁLCULO.TotalAdmLocal)*CRONO!$F67,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SUMIF(CÁLCULO!$AM$15:$AW$22,CRONO!Z$12,CÁLCULO!$AB$15:$AL$22)/(ORÇAMENTO!$X$15-CÁLCULO.TotalAdmLocal)*CRONO!$F67,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SUMIF(CÁLCULO!$AM$15:$AW$22,CRONO!AA$12,CÁLCULO!$AB$15:$AL$22)/(ORÇAMENTO!$X$15-CÁLCULO.TotalAdmLocal)*CRONO!$F67,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SUMIF(CÁLCULO!$AM$15:$AW$22,CRONO!AB$12,CÁLCULO!$AB$15:$AL$22)/(ORÇAMENTO!$X$15-CÁLCULO.TotalAdmLocal)*CRONO!$F67,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SUMIF(CÁLCULO!$AM$15:$AW$22,CRONO!AC$12,CÁLCULO!$AB$15:$AL$22)/(ORÇAMENTO!$X$15-CÁLCULO.TotalAdmLocal)*CRONO!$F67,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SUMIF(CÁLCULO!$AM$15:$AW$22,CRONO!AD$12,CÁLCULO!$AB$15:$AL$22)/(ORÇAMENTO!$X$15-CÁLCULO.TotalAdmLocal)*CRONO!$F67,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SUMIF(CÁLCULO!$AM$15:$AW$22,CRONO!AE$12,CÁLCULO!$AB$15:$AL$22)/(ORÇAMENTO!$X$15-CÁLCULO.TotalAdmLocal)*CRONO!$F67,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SUMIF(CÁLCULO!$AM$15:$AW$22,CRONO!AF$12,CÁLCULO!$AB$15:$AL$22)/(ORÇAMENTO!$X$15-CÁLCULO.TotalAdmLocal)*CRONO!$F67,
                        0),
                 AF66*$S65),
          SUMIF(OFFSET($S67,1,0,$R65-2),($M65+1)&amp;"$",OFFSET(AF67,1,0,$R65-2)))</f>
        <v>0</v>
      </c>
      <c r="AG67" s="534"/>
    </row>
    <row r="68" spans="1:33" x14ac:dyDescent="0.2">
      <c r="A68" s="186" t="str">
        <f t="shared" ref="A68" ca="1" si="110">IF($M68&gt;1,_xlfn.CONCAT($I68," ",$J68),"")</f>
        <v/>
      </c>
      <c r="B68" s="185">
        <f t="shared" ref="B68" ca="1" si="111">OFFSET(B68,-3,0)+1</f>
        <v>19</v>
      </c>
      <c r="C68" s="185">
        <f ca="1">IF($R68&lt;&gt;2,0,IF($S68=0,1,IF(F69&gt;0,OFFSET(QCI!$M$13,SUBSTITUTE(F69,".",""),0),OFFSET(ORÇAMENTO!$AA$15,CRONO!$F68,0))/$S68))</f>
        <v>0</v>
      </c>
      <c r="D68" s="185">
        <f ca="1">IF($R68&lt;&gt;2,0,IF($S68=0,1,IF(F69&gt;0,OFFSET(QCI!$N$13,SUBSTITUTE(F69,".",""),0),OFFSET(ORÇAMENTO!$AB$15,CRONO!$F68,0))/$S68))</f>
        <v>0</v>
      </c>
      <c r="E68" s="188" t="e" cm="1">
        <f t="array" aca="1" ref="E68" ca="1">IF(AND($R68=2,ACOMPANHAMENTO="BM"),ROUND(E69,4),E70/$S68)</f>
        <v>#VALUE!</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t="str">
        <f ca="1">IF($F69=0,OFFSET(ORÇAMENTO!O$15,$F68,0),IF($F69&lt;&gt;-1,OFFSET(QCI!$D$13,$F69,0),""))</f>
        <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0</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0</v>
      </c>
      <c r="S68" s="194" t="str">
        <f ca="1">IF($F69=0,OFFSET(ORÇAMENTO!X$15,$F68,0),IF($F69&lt;&gt;-1,OFFSET(QCI!$O$13,$F69,0),""))</f>
        <v/>
      </c>
      <c r="T68" s="195" t="s">
        <v>785</v>
      </c>
      <c r="U68" s="188" t="e" cm="1">
        <f t="array" aca="1" ref="U68" ca="1">IF(AND($R68=2,ACOMPANHAMENTO="BM"),ROUND(U69,4),U70/$S68)</f>
        <v>#VALUE!</v>
      </c>
      <c r="V68" s="188" t="e" cm="1">
        <f t="array" aca="1" ref="V68" ca="1">IF(AND($R68=2,ACOMPANHAMENTO="BM"),ROUND(V69,4),V70/$S68)</f>
        <v>#VALUE!</v>
      </c>
      <c r="W68" s="188" t="e" cm="1">
        <f t="array" aca="1" ref="W68" ca="1">IF(AND($R68=2,ACOMPANHAMENTO="BM"),ROUND(W69,4),W70/$S68)</f>
        <v>#VALUE!</v>
      </c>
      <c r="X68" s="188" t="e" cm="1">
        <f t="array" aca="1" ref="X68" ca="1">IF(AND($R68=2,ACOMPANHAMENTO="BM"),ROUND(X69,4),X70/$S68)</f>
        <v>#VALUE!</v>
      </c>
      <c r="Y68" s="188" t="e" cm="1">
        <f t="array" aca="1" ref="Y68" ca="1">IF(AND($R68=2,ACOMPANHAMENTO="BM"),ROUND(Y69,4),Y70/$S68)</f>
        <v>#VALUE!</v>
      </c>
      <c r="Z68" s="188" t="e" cm="1">
        <f t="array" aca="1" ref="Z68" ca="1">IF(AND($R68=2,ACOMPANHAMENTO="BM"),ROUND(Z69,4),Z70/$S68)</f>
        <v>#VALUE!</v>
      </c>
      <c r="AA68" s="188" t="e" cm="1">
        <f t="array" aca="1" ref="AA68" ca="1">IF(AND($R68=2,ACOMPANHAMENTO="BM"),ROUND(AA69,4),AA70/$S68)</f>
        <v>#VALUE!</v>
      </c>
      <c r="AB68" s="188" t="e" cm="1">
        <f t="array" aca="1" ref="AB68" ca="1">IF(AND($R68=2,ACOMPANHAMENTO="BM"),ROUND(AB69,4),AB70/$S68)</f>
        <v>#VALUE!</v>
      </c>
      <c r="AC68" s="188" t="e" cm="1">
        <f t="array" aca="1" ref="AC68" ca="1">IF(AND($R68=2,ACOMPANHAMENTO="BM"),ROUND(AC69,4),AC70/$S68)</f>
        <v>#VALUE!</v>
      </c>
      <c r="AD68" s="188" t="e" cm="1">
        <f t="array" aca="1" ref="AD68" ca="1">IF(AND($R68=2,ACOMPANHAMENTO="BM"),ROUND(AD69,4),AD70/$S68)</f>
        <v>#VALUE!</v>
      </c>
      <c r="AE68" s="188" t="e" cm="1">
        <f t="array" aca="1" ref="AE68" ca="1">IF(AND($R68=2,ACOMPANHAMENTO="BM"),ROUND(AE69,4),AE70/$S68)</f>
        <v>#VALUE!</v>
      </c>
      <c r="AF68" s="188" t="e" cm="1">
        <f t="array" aca="1" ref="AF68" ca="1">IF(AND($R68=2,ACOMPANHAMENTO="BM"),ROUND(AF69,4),AF70/$S68)</f>
        <v>#VALUE!</v>
      </c>
      <c r="AG68" s="534"/>
    </row>
    <row r="69" spans="1:33" ht="12.75" customHeight="1" x14ac:dyDescent="0.2">
      <c r="E69" s="587"/>
      <c r="F69" s="185">
        <f ca="1">IF(ISERROR(F68),IF(1+COUNTIF($M$13:OFFSET(M68,-1,0),1)&lt;=MAX(QCI!$D$13:$D$24),1+COUNTIF($M$13:OFFSET(M68,-1,0),1),-1),0)</f>
        <v>-1</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SUMIF(CÁLCULO!$AM$15:$AW$22,CRONO!E$12,CÁLCULO!$AB$15:$AL$22)/(ORÇAMENTO!$X$15-CÁLCULO.TotalAdmLocal)*CRONO!$F70,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SUMIF(CÁLCULO!$AM$15:$AW$22,CRONO!U$12,CÁLCULO!$AB$15:$AL$22)/(ORÇAMENTO!$X$15-CÁLCULO.TotalAdmLocal)*CRONO!$F70,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SUMIF(CÁLCULO!$AM$15:$AW$22,CRONO!V$12,CÁLCULO!$AB$15:$AL$22)/(ORÇAMENTO!$X$15-CÁLCULO.TotalAdmLocal)*CRONO!$F70,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SUMIF(CÁLCULO!$AM$15:$AW$22,CRONO!W$12,CÁLCULO!$AB$15:$AL$22)/(ORÇAMENTO!$X$15-CÁLCULO.TotalAdmLocal)*CRONO!$F70,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SUMIF(CÁLCULO!$AM$15:$AW$22,CRONO!X$12,CÁLCULO!$AB$15:$AL$22)/(ORÇAMENTO!$X$15-CÁLCULO.TotalAdmLocal)*CRONO!$F70,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SUMIF(CÁLCULO!$AM$15:$AW$22,CRONO!Y$12,CÁLCULO!$AB$15:$AL$22)/(ORÇAMENTO!$X$15-CÁLCULO.TotalAdmLocal)*CRONO!$F70,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SUMIF(CÁLCULO!$AM$15:$AW$22,CRONO!Z$12,CÁLCULO!$AB$15:$AL$22)/(ORÇAMENTO!$X$15-CÁLCULO.TotalAdmLocal)*CRONO!$F70,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SUMIF(CÁLCULO!$AM$15:$AW$22,CRONO!AA$12,CÁLCULO!$AB$15:$AL$22)/(ORÇAMENTO!$X$15-CÁLCULO.TotalAdmLocal)*CRONO!$F70,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SUMIF(CÁLCULO!$AM$15:$AW$22,CRONO!AB$12,CÁLCULO!$AB$15:$AL$22)/(ORÇAMENTO!$X$15-CÁLCULO.TotalAdmLocal)*CRONO!$F70,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SUMIF(CÁLCULO!$AM$15:$AW$22,CRONO!AC$12,CÁLCULO!$AB$15:$AL$22)/(ORÇAMENTO!$X$15-CÁLCULO.TotalAdmLocal)*CRONO!$F70,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SUMIF(CÁLCULO!$AM$15:$AW$22,CRONO!AD$12,CÁLCULO!$AB$15:$AL$22)/(ORÇAMENTO!$X$15-CÁLCULO.TotalAdmLocal)*CRONO!$F70,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SUMIF(CÁLCULO!$AM$15:$AW$22,CRONO!AE$12,CÁLCULO!$AB$15:$AL$22)/(ORÇAMENTO!$X$15-CÁLCULO.TotalAdmLocal)*CRONO!$F70,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SUMIF(CÁLCULO!$AM$15:$AW$22,CRONO!AF$12,CÁLCULO!$AB$15:$AL$22)/(ORÇAMENTO!$X$15-CÁLCULO.TotalAdmLocal)*CRONO!$F70,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0</v>
      </c>
      <c r="D71" s="185">
        <f ca="1">IF($R71&lt;&gt;2,0,IF($S71=0,1,IF(F72&gt;0,OFFSET(QCI!$N$13,SUBSTITUTE(F72,".",""),0),OFFSET(ORÇAMENTO!$AB$15,CRONO!$F71,0))/$S71))</f>
        <v>0</v>
      </c>
      <c r="E71" s="188" t="e" cm="1">
        <f t="array" aca="1" ref="E71" ca="1">IF(AND($R71=2,ACOMPANHAMENTO="BM"),ROUND(E72,4),E73/$S71)</f>
        <v>#VALUE!</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t="str">
        <f ca="1">IF($F72=0,OFFSET(ORÇAMENTO!O$15,$F71,0),IF($F72&lt;&gt;-1,OFFSET(QCI!$D$13,$F72,0),""))</f>
        <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0</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0</v>
      </c>
      <c r="S71" s="194" t="str">
        <f ca="1">IF($F72=0,OFFSET(ORÇAMENTO!X$15,$F71,0),IF($F72&lt;&gt;-1,OFFSET(QCI!$O$13,$F72,0),""))</f>
        <v/>
      </c>
      <c r="T71" s="195" t="s">
        <v>785</v>
      </c>
      <c r="U71" s="188" t="e" cm="1">
        <f t="array" aca="1" ref="U71" ca="1">IF(AND($R71=2,ACOMPANHAMENTO="BM"),ROUND(U72,4),U73/$S71)</f>
        <v>#VALUE!</v>
      </c>
      <c r="V71" s="188" t="e" cm="1">
        <f t="array" aca="1" ref="V71" ca="1">IF(AND($R71=2,ACOMPANHAMENTO="BM"),ROUND(V72,4),V73/$S71)</f>
        <v>#VALUE!</v>
      </c>
      <c r="W71" s="188" t="e" cm="1">
        <f t="array" aca="1" ref="W71" ca="1">IF(AND($R71=2,ACOMPANHAMENTO="BM"),ROUND(W72,4),W73/$S71)</f>
        <v>#VALUE!</v>
      </c>
      <c r="X71" s="188" t="e" cm="1">
        <f t="array" aca="1" ref="X71" ca="1">IF(AND($R71=2,ACOMPANHAMENTO="BM"),ROUND(X72,4),X73/$S71)</f>
        <v>#VALUE!</v>
      </c>
      <c r="Y71" s="188" t="e" cm="1">
        <f t="array" aca="1" ref="Y71" ca="1">IF(AND($R71=2,ACOMPANHAMENTO="BM"),ROUND(Y72,4),Y73/$S71)</f>
        <v>#VALUE!</v>
      </c>
      <c r="Z71" s="188" t="e" cm="1">
        <f t="array" aca="1" ref="Z71" ca="1">IF(AND($R71=2,ACOMPANHAMENTO="BM"),ROUND(Z72,4),Z73/$S71)</f>
        <v>#VALUE!</v>
      </c>
      <c r="AA71" s="188" t="e" cm="1">
        <f t="array" aca="1" ref="AA71" ca="1">IF(AND($R71=2,ACOMPANHAMENTO="BM"),ROUND(AA72,4),AA73/$S71)</f>
        <v>#VALUE!</v>
      </c>
      <c r="AB71" s="188" t="e" cm="1">
        <f t="array" aca="1" ref="AB71" ca="1">IF(AND($R71=2,ACOMPANHAMENTO="BM"),ROUND(AB72,4),AB73/$S71)</f>
        <v>#VALUE!</v>
      </c>
      <c r="AC71" s="188" t="e" cm="1">
        <f t="array" aca="1" ref="AC71" ca="1">IF(AND($R71=2,ACOMPANHAMENTO="BM"),ROUND(AC72,4),AC73/$S71)</f>
        <v>#VALUE!</v>
      </c>
      <c r="AD71" s="188" t="e" cm="1">
        <f t="array" aca="1" ref="AD71" ca="1">IF(AND($R71=2,ACOMPANHAMENTO="BM"),ROUND(AD72,4),AD73/$S71)</f>
        <v>#VALUE!</v>
      </c>
      <c r="AE71" s="188" t="e" cm="1">
        <f t="array" aca="1" ref="AE71" ca="1">IF(AND($R71=2,ACOMPANHAMENTO="BM"),ROUND(AE72,4),AE73/$S71)</f>
        <v>#VALUE!</v>
      </c>
      <c r="AF71" s="188" t="e" cm="1">
        <f t="array" aca="1" ref="AF71" ca="1">IF(AND($R71=2,ACOMPANHAMENTO="BM"),ROUND(AF72,4),AF73/$S71)</f>
        <v>#VALUE!</v>
      </c>
      <c r="AG71" s="534"/>
    </row>
    <row r="72" spans="1:33" ht="12.75" customHeight="1" x14ac:dyDescent="0.2">
      <c r="E72" s="587"/>
      <c r="F72" s="185">
        <f ca="1">IF(ISERROR(F71),IF(1+COUNTIF($M$13:OFFSET(M71,-1,0),1)&lt;=MAX(QCI!$D$13:$D$24),1+COUNTIF($M$13:OFFSET(M71,-1,0),1),-1),0)</f>
        <v>-1</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SUMIF(CÁLCULO!$AM$15:$AW$22,CRONO!E$12,CÁLCULO!$AB$15:$AL$22)/(ORÇAMENTO!$X$15-CÁLCULO.TotalAdmLocal)*CRONO!$F73,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SUMIF(CÁLCULO!$AM$15:$AW$22,CRONO!U$12,CÁLCULO!$AB$15:$AL$22)/(ORÇAMENTO!$X$15-CÁLCULO.TotalAdmLocal)*CRONO!$F73,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SUMIF(CÁLCULO!$AM$15:$AW$22,CRONO!V$12,CÁLCULO!$AB$15:$AL$22)/(ORÇAMENTO!$X$15-CÁLCULO.TotalAdmLocal)*CRONO!$F73,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SUMIF(CÁLCULO!$AM$15:$AW$22,CRONO!W$12,CÁLCULO!$AB$15:$AL$22)/(ORÇAMENTO!$X$15-CÁLCULO.TotalAdmLocal)*CRONO!$F73,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SUMIF(CÁLCULO!$AM$15:$AW$22,CRONO!X$12,CÁLCULO!$AB$15:$AL$22)/(ORÇAMENTO!$X$15-CÁLCULO.TotalAdmLocal)*CRONO!$F73,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SUMIF(CÁLCULO!$AM$15:$AW$22,CRONO!Y$12,CÁLCULO!$AB$15:$AL$22)/(ORÇAMENTO!$X$15-CÁLCULO.TotalAdmLocal)*CRONO!$F73,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SUMIF(CÁLCULO!$AM$15:$AW$22,CRONO!Z$12,CÁLCULO!$AB$15:$AL$22)/(ORÇAMENTO!$X$15-CÁLCULO.TotalAdmLocal)*CRONO!$F73,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SUMIF(CÁLCULO!$AM$15:$AW$22,CRONO!AA$12,CÁLCULO!$AB$15:$AL$22)/(ORÇAMENTO!$X$15-CÁLCULO.TotalAdmLocal)*CRONO!$F73,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SUMIF(CÁLCULO!$AM$15:$AW$22,CRONO!AB$12,CÁLCULO!$AB$15:$AL$22)/(ORÇAMENTO!$X$15-CÁLCULO.TotalAdmLocal)*CRONO!$F73,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SUMIF(CÁLCULO!$AM$15:$AW$22,CRONO!AC$12,CÁLCULO!$AB$15:$AL$22)/(ORÇAMENTO!$X$15-CÁLCULO.TotalAdmLocal)*CRONO!$F73,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SUMIF(CÁLCULO!$AM$15:$AW$22,CRONO!AD$12,CÁLCULO!$AB$15:$AL$22)/(ORÇAMENTO!$X$15-CÁLCULO.TotalAdmLocal)*CRONO!$F73,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SUMIF(CÁLCULO!$AM$15:$AW$22,CRONO!AE$12,CÁLCULO!$AB$15:$AL$22)/(ORÇAMENTO!$X$15-CÁLCULO.TotalAdmLocal)*CRONO!$F73,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SUMIF(CÁLCULO!$AM$15:$AW$22,CRONO!AF$12,CÁLCULO!$AB$15:$AL$22)/(ORÇAMENTO!$X$15-CÁLCULO.TotalAdmLocal)*CRONO!$F73,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0</v>
      </c>
      <c r="D74" s="185">
        <f ca="1">IF($R74&lt;&gt;2,0,IF($S74=0,1,IF(F75&gt;0,OFFSET(QCI!$N$13,SUBSTITUTE(F75,".",""),0),OFFSET(ORÇAMENTO!$AB$15,CRONO!$F74,0))/$S74))</f>
        <v>0</v>
      </c>
      <c r="E74" s="188" t="e" cm="1">
        <f t="array" aca="1" ref="E74" ca="1">IF(AND($R74=2,ACOMPANHAMENTO="BM"),ROUND(E75,4),E76/$S74)</f>
        <v>#VALUE!</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t="str">
        <f ca="1">IF($F75=0,OFFSET(ORÇAMENTO!O$15,$F74,0),IF($F75&lt;&gt;-1,OFFSET(QCI!$D$13,$F75,0),""))</f>
        <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0</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0</v>
      </c>
      <c r="S74" s="194" t="str">
        <f ca="1">IF($F75=0,OFFSET(ORÇAMENTO!X$15,$F74,0),IF($F75&lt;&gt;-1,OFFSET(QCI!$O$13,$F75,0),""))</f>
        <v/>
      </c>
      <c r="T74" s="195" t="s">
        <v>785</v>
      </c>
      <c r="U74" s="188" t="e" cm="1">
        <f t="array" aca="1" ref="U74" ca="1">IF(AND($R74=2,ACOMPANHAMENTO="BM"),ROUND(U75,4),U76/$S74)</f>
        <v>#VALUE!</v>
      </c>
      <c r="V74" s="188" t="e" cm="1">
        <f t="array" aca="1" ref="V74" ca="1">IF(AND($R74=2,ACOMPANHAMENTO="BM"),ROUND(V75,4),V76/$S74)</f>
        <v>#VALUE!</v>
      </c>
      <c r="W74" s="188" t="e" cm="1">
        <f t="array" aca="1" ref="W74" ca="1">IF(AND($R74=2,ACOMPANHAMENTO="BM"),ROUND(W75,4),W76/$S74)</f>
        <v>#VALUE!</v>
      </c>
      <c r="X74" s="188" t="e" cm="1">
        <f t="array" aca="1" ref="X74" ca="1">IF(AND($R74=2,ACOMPANHAMENTO="BM"),ROUND(X75,4),X76/$S74)</f>
        <v>#VALUE!</v>
      </c>
      <c r="Y74" s="188" t="e" cm="1">
        <f t="array" aca="1" ref="Y74" ca="1">IF(AND($R74=2,ACOMPANHAMENTO="BM"),ROUND(Y75,4),Y76/$S74)</f>
        <v>#VALUE!</v>
      </c>
      <c r="Z74" s="188" t="e" cm="1">
        <f t="array" aca="1" ref="Z74" ca="1">IF(AND($R74=2,ACOMPANHAMENTO="BM"),ROUND(Z75,4),Z76/$S74)</f>
        <v>#VALUE!</v>
      </c>
      <c r="AA74" s="188" t="e" cm="1">
        <f t="array" aca="1" ref="AA74" ca="1">IF(AND($R74=2,ACOMPANHAMENTO="BM"),ROUND(AA75,4),AA76/$S74)</f>
        <v>#VALUE!</v>
      </c>
      <c r="AB74" s="188" t="e" cm="1">
        <f t="array" aca="1" ref="AB74" ca="1">IF(AND($R74=2,ACOMPANHAMENTO="BM"),ROUND(AB75,4),AB76/$S74)</f>
        <v>#VALUE!</v>
      </c>
      <c r="AC74" s="188" t="e" cm="1">
        <f t="array" aca="1" ref="AC74" ca="1">IF(AND($R74=2,ACOMPANHAMENTO="BM"),ROUND(AC75,4),AC76/$S74)</f>
        <v>#VALUE!</v>
      </c>
      <c r="AD74" s="188" t="e" cm="1">
        <f t="array" aca="1" ref="AD74" ca="1">IF(AND($R74=2,ACOMPANHAMENTO="BM"),ROUND(AD75,4),AD76/$S74)</f>
        <v>#VALUE!</v>
      </c>
      <c r="AE74" s="188" t="e" cm="1">
        <f t="array" aca="1" ref="AE74" ca="1">IF(AND($R74=2,ACOMPANHAMENTO="BM"),ROUND(AE75,4),AE76/$S74)</f>
        <v>#VALUE!</v>
      </c>
      <c r="AF74" s="188" t="e" cm="1">
        <f t="array" aca="1" ref="AF74" ca="1">IF(AND($R74=2,ACOMPANHAMENTO="BM"),ROUND(AF75,4),AF76/$S74)</f>
        <v>#VALUE!</v>
      </c>
      <c r="AG74" s="534"/>
    </row>
    <row r="75" spans="1:33" ht="12.75" customHeight="1" x14ac:dyDescent="0.2">
      <c r="E75" s="587"/>
      <c r="F75" s="185">
        <f ca="1">IF(ISERROR(F74),IF(1+COUNTIF($M$13:OFFSET(M74,-1,0),1)&lt;=MAX(QCI!$D$13:$D$24),1+COUNTIF($M$13:OFFSET(M74,-1,0),1),-1),0)</f>
        <v>-1</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SUMIF(CÁLCULO!$AM$15:$AW$22,CRONO!E$12,CÁLCULO!$AB$15:$AL$22)/(ORÇAMENTO!$X$15-CÁLCULO.TotalAdmLocal)*CRONO!$F76,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SUMIF(CÁLCULO!$AM$15:$AW$22,CRONO!U$12,CÁLCULO!$AB$15:$AL$22)/(ORÇAMENTO!$X$15-CÁLCULO.TotalAdmLocal)*CRONO!$F76,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SUMIF(CÁLCULO!$AM$15:$AW$22,CRONO!V$12,CÁLCULO!$AB$15:$AL$22)/(ORÇAMENTO!$X$15-CÁLCULO.TotalAdmLocal)*CRONO!$F76,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SUMIF(CÁLCULO!$AM$15:$AW$22,CRONO!W$12,CÁLCULO!$AB$15:$AL$22)/(ORÇAMENTO!$X$15-CÁLCULO.TotalAdmLocal)*CRONO!$F76,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SUMIF(CÁLCULO!$AM$15:$AW$22,CRONO!X$12,CÁLCULO!$AB$15:$AL$22)/(ORÇAMENTO!$X$15-CÁLCULO.TotalAdmLocal)*CRONO!$F76,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SUMIF(CÁLCULO!$AM$15:$AW$22,CRONO!Y$12,CÁLCULO!$AB$15:$AL$22)/(ORÇAMENTO!$X$15-CÁLCULO.TotalAdmLocal)*CRONO!$F76,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SUMIF(CÁLCULO!$AM$15:$AW$22,CRONO!Z$12,CÁLCULO!$AB$15:$AL$22)/(ORÇAMENTO!$X$15-CÁLCULO.TotalAdmLocal)*CRONO!$F76,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SUMIF(CÁLCULO!$AM$15:$AW$22,CRONO!AA$12,CÁLCULO!$AB$15:$AL$22)/(ORÇAMENTO!$X$15-CÁLCULO.TotalAdmLocal)*CRONO!$F76,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SUMIF(CÁLCULO!$AM$15:$AW$22,CRONO!AB$12,CÁLCULO!$AB$15:$AL$22)/(ORÇAMENTO!$X$15-CÁLCULO.TotalAdmLocal)*CRONO!$F76,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SUMIF(CÁLCULO!$AM$15:$AW$22,CRONO!AC$12,CÁLCULO!$AB$15:$AL$22)/(ORÇAMENTO!$X$15-CÁLCULO.TotalAdmLocal)*CRONO!$F76,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SUMIF(CÁLCULO!$AM$15:$AW$22,CRONO!AD$12,CÁLCULO!$AB$15:$AL$22)/(ORÇAMENTO!$X$15-CÁLCULO.TotalAdmLocal)*CRONO!$F76,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SUMIF(CÁLCULO!$AM$15:$AW$22,CRONO!AE$12,CÁLCULO!$AB$15:$AL$22)/(ORÇAMENTO!$X$15-CÁLCULO.TotalAdmLocal)*CRONO!$F76,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SUMIF(CÁLCULO!$AM$15:$AW$22,CRONO!AF$12,CÁLCULO!$AB$15:$AL$22)/(ORÇAMENTO!$X$15-CÁLCULO.TotalAdmLocal)*CRONO!$F76,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0</v>
      </c>
      <c r="D77" s="185">
        <f ca="1">IF($R77&lt;&gt;2,0,IF($S77=0,1,IF(F78&gt;0,OFFSET(QCI!$N$13,SUBSTITUTE(F78,".",""),0),OFFSET(ORÇAMENTO!$AB$15,CRONO!$F77,0))/$S77))</f>
        <v>0</v>
      </c>
      <c r="E77" s="188" t="e" cm="1">
        <f t="array" aca="1" ref="E77" ca="1">IF(AND($R77=2,ACOMPANHAMENTO="BM"),ROUND(E78,4),E79/$S77)</f>
        <v>#VALUE!</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t="str">
        <f ca="1">IF($F78=0,OFFSET(ORÇAMENTO!O$15,$F77,0),IF($F78&lt;&gt;-1,OFFSET(QCI!$D$13,$F78,0),""))</f>
        <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0</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0</v>
      </c>
      <c r="S77" s="194" t="str">
        <f ca="1">IF($F78=0,OFFSET(ORÇAMENTO!X$15,$F77,0),IF($F78&lt;&gt;-1,OFFSET(QCI!$O$13,$F78,0),""))</f>
        <v/>
      </c>
      <c r="T77" s="195" t="s">
        <v>785</v>
      </c>
      <c r="U77" s="188" t="e" cm="1">
        <f t="array" aca="1" ref="U77" ca="1">IF(AND($R77=2,ACOMPANHAMENTO="BM"),ROUND(U78,4),U79/$S77)</f>
        <v>#VALUE!</v>
      </c>
      <c r="V77" s="188" t="e" cm="1">
        <f t="array" aca="1" ref="V77" ca="1">IF(AND($R77=2,ACOMPANHAMENTO="BM"),ROUND(V78,4),V79/$S77)</f>
        <v>#VALUE!</v>
      </c>
      <c r="W77" s="188" t="e" cm="1">
        <f t="array" aca="1" ref="W77" ca="1">IF(AND($R77=2,ACOMPANHAMENTO="BM"),ROUND(W78,4),W79/$S77)</f>
        <v>#VALUE!</v>
      </c>
      <c r="X77" s="188" t="e" cm="1">
        <f t="array" aca="1" ref="X77" ca="1">IF(AND($R77=2,ACOMPANHAMENTO="BM"),ROUND(X78,4),X79/$S77)</f>
        <v>#VALUE!</v>
      </c>
      <c r="Y77" s="188" t="e" cm="1">
        <f t="array" aca="1" ref="Y77" ca="1">IF(AND($R77=2,ACOMPANHAMENTO="BM"),ROUND(Y78,4),Y79/$S77)</f>
        <v>#VALUE!</v>
      </c>
      <c r="Z77" s="188" t="e" cm="1">
        <f t="array" aca="1" ref="Z77" ca="1">IF(AND($R77=2,ACOMPANHAMENTO="BM"),ROUND(Z78,4),Z79/$S77)</f>
        <v>#VALUE!</v>
      </c>
      <c r="AA77" s="188" t="e" cm="1">
        <f t="array" aca="1" ref="AA77" ca="1">IF(AND($R77=2,ACOMPANHAMENTO="BM"),ROUND(AA78,4),AA79/$S77)</f>
        <v>#VALUE!</v>
      </c>
      <c r="AB77" s="188" t="e" cm="1">
        <f t="array" aca="1" ref="AB77" ca="1">IF(AND($R77=2,ACOMPANHAMENTO="BM"),ROUND(AB78,4),AB79/$S77)</f>
        <v>#VALUE!</v>
      </c>
      <c r="AC77" s="188" t="e" cm="1">
        <f t="array" aca="1" ref="AC77" ca="1">IF(AND($R77=2,ACOMPANHAMENTO="BM"),ROUND(AC78,4),AC79/$S77)</f>
        <v>#VALUE!</v>
      </c>
      <c r="AD77" s="188" t="e" cm="1">
        <f t="array" aca="1" ref="AD77" ca="1">IF(AND($R77=2,ACOMPANHAMENTO="BM"),ROUND(AD78,4),AD79/$S77)</f>
        <v>#VALUE!</v>
      </c>
      <c r="AE77" s="188" t="e" cm="1">
        <f t="array" aca="1" ref="AE77" ca="1">IF(AND($R77=2,ACOMPANHAMENTO="BM"),ROUND(AE78,4),AE79/$S77)</f>
        <v>#VALUE!</v>
      </c>
      <c r="AF77" s="188" t="e" cm="1">
        <f t="array" aca="1" ref="AF77" ca="1">IF(AND($R77=2,ACOMPANHAMENTO="BM"),ROUND(AF78,4),AF79/$S77)</f>
        <v>#VALUE!</v>
      </c>
      <c r="AG77" s="534"/>
    </row>
    <row r="78" spans="1:33" ht="12.75" customHeight="1" x14ac:dyDescent="0.2">
      <c r="E78" s="587"/>
      <c r="F78" s="185">
        <f ca="1">IF(ISERROR(F77),IF(1+COUNTIF($M$13:OFFSET(M77,-1,0),1)&lt;=MAX(QCI!$D$13:$D$24),1+COUNTIF($M$13:OFFSET(M77,-1,0),1),-1),0)</f>
        <v>-1</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SUMIF(CÁLCULO!$AM$15:$AW$22,CRONO!E$12,CÁLCULO!$AB$15:$AL$22)/(ORÇAMENTO!$X$15-CÁLCULO.TotalAdmLocal)*CRONO!$F79,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SUMIF(CÁLCULO!$AM$15:$AW$22,CRONO!U$12,CÁLCULO!$AB$15:$AL$22)/(ORÇAMENTO!$X$15-CÁLCULO.TotalAdmLocal)*CRONO!$F79,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SUMIF(CÁLCULO!$AM$15:$AW$22,CRONO!V$12,CÁLCULO!$AB$15:$AL$22)/(ORÇAMENTO!$X$15-CÁLCULO.TotalAdmLocal)*CRONO!$F79,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SUMIF(CÁLCULO!$AM$15:$AW$22,CRONO!W$12,CÁLCULO!$AB$15:$AL$22)/(ORÇAMENTO!$X$15-CÁLCULO.TotalAdmLocal)*CRONO!$F79,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SUMIF(CÁLCULO!$AM$15:$AW$22,CRONO!X$12,CÁLCULO!$AB$15:$AL$22)/(ORÇAMENTO!$X$15-CÁLCULO.TotalAdmLocal)*CRONO!$F79,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SUMIF(CÁLCULO!$AM$15:$AW$22,CRONO!Y$12,CÁLCULO!$AB$15:$AL$22)/(ORÇAMENTO!$X$15-CÁLCULO.TotalAdmLocal)*CRONO!$F79,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SUMIF(CÁLCULO!$AM$15:$AW$22,CRONO!Z$12,CÁLCULO!$AB$15:$AL$22)/(ORÇAMENTO!$X$15-CÁLCULO.TotalAdmLocal)*CRONO!$F79,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SUMIF(CÁLCULO!$AM$15:$AW$22,CRONO!AA$12,CÁLCULO!$AB$15:$AL$22)/(ORÇAMENTO!$X$15-CÁLCULO.TotalAdmLocal)*CRONO!$F79,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SUMIF(CÁLCULO!$AM$15:$AW$22,CRONO!AB$12,CÁLCULO!$AB$15:$AL$22)/(ORÇAMENTO!$X$15-CÁLCULO.TotalAdmLocal)*CRONO!$F79,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SUMIF(CÁLCULO!$AM$15:$AW$22,CRONO!AC$12,CÁLCULO!$AB$15:$AL$22)/(ORÇAMENTO!$X$15-CÁLCULO.TotalAdmLocal)*CRONO!$F79,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SUMIF(CÁLCULO!$AM$15:$AW$22,CRONO!AD$12,CÁLCULO!$AB$15:$AL$22)/(ORÇAMENTO!$X$15-CÁLCULO.TotalAdmLocal)*CRONO!$F79,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SUMIF(CÁLCULO!$AM$15:$AW$22,CRONO!AE$12,CÁLCULO!$AB$15:$AL$22)/(ORÇAMENTO!$X$15-CÁLCULO.TotalAdmLocal)*CRONO!$F79,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SUMIF(CÁLCULO!$AM$15:$AW$22,CRONO!AF$12,CÁLCULO!$AB$15:$AL$22)/(ORÇAMENTO!$X$15-CÁLCULO.TotalAdmLocal)*CRONO!$F79,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t="e" cm="1">
        <f t="array" aca="1" ref="E80" ca="1">IF(AND($R80=2,ACOMPANHAMENTO="BM"),ROUND(E81,4),E82/$S80)</f>
        <v>#VALUE!</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t="str">
        <f ca="1">IF($F81=0,OFFSET(ORÇAMENTO!O$15,$F80,0),IF($F81&lt;&gt;-1,OFFSET(QCI!$D$13,$F81,0),""))</f>
        <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0</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0</v>
      </c>
      <c r="S80" s="194" t="str">
        <f ca="1">IF($F81=0,OFFSET(ORÇAMENTO!X$15,$F80,0),IF($F81&lt;&gt;-1,OFFSET(QCI!$O$13,$F81,0),""))</f>
        <v/>
      </c>
      <c r="T80" s="195" t="s">
        <v>785</v>
      </c>
      <c r="U80" s="188" t="e" cm="1">
        <f t="array" aca="1" ref="U80" ca="1">IF(AND($R80=2,ACOMPANHAMENTO="BM"),ROUND(U81,4),U82/$S80)</f>
        <v>#VALUE!</v>
      </c>
      <c r="V80" s="188" t="e" cm="1">
        <f t="array" aca="1" ref="V80" ca="1">IF(AND($R80=2,ACOMPANHAMENTO="BM"),ROUND(V81,4),V82/$S80)</f>
        <v>#VALUE!</v>
      </c>
      <c r="W80" s="188" t="e" cm="1">
        <f t="array" aca="1" ref="W80" ca="1">IF(AND($R80=2,ACOMPANHAMENTO="BM"),ROUND(W81,4),W82/$S80)</f>
        <v>#VALUE!</v>
      </c>
      <c r="X80" s="188" t="e" cm="1">
        <f t="array" aca="1" ref="X80" ca="1">IF(AND($R80=2,ACOMPANHAMENTO="BM"),ROUND(X81,4),X82/$S80)</f>
        <v>#VALUE!</v>
      </c>
      <c r="Y80" s="188" t="e" cm="1">
        <f t="array" aca="1" ref="Y80" ca="1">IF(AND($R80=2,ACOMPANHAMENTO="BM"),ROUND(Y81,4),Y82/$S80)</f>
        <v>#VALUE!</v>
      </c>
      <c r="Z80" s="188" t="e" cm="1">
        <f t="array" aca="1" ref="Z80" ca="1">IF(AND($R80=2,ACOMPANHAMENTO="BM"),ROUND(Z81,4),Z82/$S80)</f>
        <v>#VALUE!</v>
      </c>
      <c r="AA80" s="188" t="e" cm="1">
        <f t="array" aca="1" ref="AA80" ca="1">IF(AND($R80=2,ACOMPANHAMENTO="BM"),ROUND(AA81,4),AA82/$S80)</f>
        <v>#VALUE!</v>
      </c>
      <c r="AB80" s="188" t="e" cm="1">
        <f t="array" aca="1" ref="AB80" ca="1">IF(AND($R80=2,ACOMPANHAMENTO="BM"),ROUND(AB81,4),AB82/$S80)</f>
        <v>#VALUE!</v>
      </c>
      <c r="AC80" s="188" t="e" cm="1">
        <f t="array" aca="1" ref="AC80" ca="1">IF(AND($R80=2,ACOMPANHAMENTO="BM"),ROUND(AC81,4),AC82/$S80)</f>
        <v>#VALUE!</v>
      </c>
      <c r="AD80" s="188" t="e" cm="1">
        <f t="array" aca="1" ref="AD80" ca="1">IF(AND($R80=2,ACOMPANHAMENTO="BM"),ROUND(AD81,4),AD82/$S80)</f>
        <v>#VALUE!</v>
      </c>
      <c r="AE80" s="188" t="e" cm="1">
        <f t="array" aca="1" ref="AE80" ca="1">IF(AND($R80=2,ACOMPANHAMENTO="BM"),ROUND(AE81,4),AE82/$S80)</f>
        <v>#VALUE!</v>
      </c>
      <c r="AF80" s="188" t="e" cm="1">
        <f t="array" aca="1" ref="AF80" ca="1">IF(AND($R80=2,ACOMPANHAMENTO="BM"),ROUND(AF81,4),AF82/$S80)</f>
        <v>#VALUE!</v>
      </c>
      <c r="AG80" s="534"/>
    </row>
    <row r="81" spans="1:33" ht="12.75" customHeight="1" x14ac:dyDescent="0.2">
      <c r="E81" s="587"/>
      <c r="F81" s="185">
        <f ca="1">IF(ISERROR(F80),IF(1+COUNTIF($M$13:OFFSET(M80,-1,0),1)&lt;=MAX(QCI!$D$13:$D$24),1+COUNTIF($M$13:OFFSET(M80,-1,0),1),-1),0)</f>
        <v>-1</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SUMIF(CÁLCULO!$AM$15:$AW$22,CRONO!E$12,CÁLCULO!$AB$15:$AL$22)/(ORÇAMENTO!$X$15-CÁLCULO.TotalAdmLocal)*CRONO!$F82,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SUMIF(CÁLCULO!$AM$15:$AW$22,CRONO!U$12,CÁLCULO!$AB$15:$AL$22)/(ORÇAMENTO!$X$15-CÁLCULO.TotalAdmLocal)*CRONO!$F82,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SUMIF(CÁLCULO!$AM$15:$AW$22,CRONO!V$12,CÁLCULO!$AB$15:$AL$22)/(ORÇAMENTO!$X$15-CÁLCULO.TotalAdmLocal)*CRONO!$F82,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SUMIF(CÁLCULO!$AM$15:$AW$22,CRONO!W$12,CÁLCULO!$AB$15:$AL$22)/(ORÇAMENTO!$X$15-CÁLCULO.TotalAdmLocal)*CRONO!$F82,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SUMIF(CÁLCULO!$AM$15:$AW$22,CRONO!X$12,CÁLCULO!$AB$15:$AL$22)/(ORÇAMENTO!$X$15-CÁLCULO.TotalAdmLocal)*CRONO!$F82,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SUMIF(CÁLCULO!$AM$15:$AW$22,CRONO!Y$12,CÁLCULO!$AB$15:$AL$22)/(ORÇAMENTO!$X$15-CÁLCULO.TotalAdmLocal)*CRONO!$F82,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SUMIF(CÁLCULO!$AM$15:$AW$22,CRONO!Z$12,CÁLCULO!$AB$15:$AL$22)/(ORÇAMENTO!$X$15-CÁLCULO.TotalAdmLocal)*CRONO!$F82,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SUMIF(CÁLCULO!$AM$15:$AW$22,CRONO!AA$12,CÁLCULO!$AB$15:$AL$22)/(ORÇAMENTO!$X$15-CÁLCULO.TotalAdmLocal)*CRONO!$F82,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SUMIF(CÁLCULO!$AM$15:$AW$22,CRONO!AB$12,CÁLCULO!$AB$15:$AL$22)/(ORÇAMENTO!$X$15-CÁLCULO.TotalAdmLocal)*CRONO!$F82,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SUMIF(CÁLCULO!$AM$15:$AW$22,CRONO!AC$12,CÁLCULO!$AB$15:$AL$22)/(ORÇAMENTO!$X$15-CÁLCULO.TotalAdmLocal)*CRONO!$F82,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SUMIF(CÁLCULO!$AM$15:$AW$22,CRONO!AD$12,CÁLCULO!$AB$15:$AL$22)/(ORÇAMENTO!$X$15-CÁLCULO.TotalAdmLocal)*CRONO!$F82,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SUMIF(CÁLCULO!$AM$15:$AW$22,CRONO!AE$12,CÁLCULO!$AB$15:$AL$22)/(ORÇAMENTO!$X$15-CÁLCULO.TotalAdmLocal)*CRONO!$F82,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SUMIF(CÁLCULO!$AM$15:$AW$22,CRONO!AF$12,CÁLCULO!$AB$15:$AL$22)/(ORÇAMENTO!$X$15-CÁLCULO.TotalAdmLocal)*CRONO!$F82,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0</v>
      </c>
      <c r="D83" s="185">
        <f ca="1">IF($R83&lt;&gt;2,0,IF($S83=0,1,IF(F84&gt;0,OFFSET(QCI!$N$13,SUBSTITUTE(F84,".",""),0),OFFSET(ORÇAMENTO!$AB$15,CRONO!$F83,0))/$S83))</f>
        <v>0</v>
      </c>
      <c r="E83" s="188" t="e" cm="1">
        <f t="array" aca="1" ref="E83" ca="1">IF(AND($R83=2,ACOMPANHAMENTO="BM"),ROUND(E84,4),E85/$S83)</f>
        <v>#VALUE!</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t="str">
        <f ca="1">IF($F84=0,OFFSET(ORÇAMENTO!O$15,$F83,0),IF($F84&lt;&gt;-1,OFFSET(QCI!$D$13,$F84,0),""))</f>
        <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0</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0</v>
      </c>
      <c r="S83" s="194" t="str">
        <f ca="1">IF($F84=0,OFFSET(ORÇAMENTO!X$15,$F83,0),IF($F84&lt;&gt;-1,OFFSET(QCI!$O$13,$F84,0),""))</f>
        <v/>
      </c>
      <c r="T83" s="195" t="s">
        <v>785</v>
      </c>
      <c r="U83" s="188" t="e" cm="1">
        <f t="array" aca="1" ref="U83" ca="1">IF(AND($R83=2,ACOMPANHAMENTO="BM"),ROUND(U84,4),U85/$S83)</f>
        <v>#VALUE!</v>
      </c>
      <c r="V83" s="188" t="e" cm="1">
        <f t="array" aca="1" ref="V83" ca="1">IF(AND($R83=2,ACOMPANHAMENTO="BM"),ROUND(V84,4),V85/$S83)</f>
        <v>#VALUE!</v>
      </c>
      <c r="W83" s="188" t="e" cm="1">
        <f t="array" aca="1" ref="W83" ca="1">IF(AND($R83=2,ACOMPANHAMENTO="BM"),ROUND(W84,4),W85/$S83)</f>
        <v>#VALUE!</v>
      </c>
      <c r="X83" s="188" t="e" cm="1">
        <f t="array" aca="1" ref="X83" ca="1">IF(AND($R83=2,ACOMPANHAMENTO="BM"),ROUND(X84,4),X85/$S83)</f>
        <v>#VALUE!</v>
      </c>
      <c r="Y83" s="188" t="e" cm="1">
        <f t="array" aca="1" ref="Y83" ca="1">IF(AND($R83=2,ACOMPANHAMENTO="BM"),ROUND(Y84,4),Y85/$S83)</f>
        <v>#VALUE!</v>
      </c>
      <c r="Z83" s="188" t="e" cm="1">
        <f t="array" aca="1" ref="Z83" ca="1">IF(AND($R83=2,ACOMPANHAMENTO="BM"),ROUND(Z84,4),Z85/$S83)</f>
        <v>#VALUE!</v>
      </c>
      <c r="AA83" s="188" t="e" cm="1">
        <f t="array" aca="1" ref="AA83" ca="1">IF(AND($R83=2,ACOMPANHAMENTO="BM"),ROUND(AA84,4),AA85/$S83)</f>
        <v>#VALUE!</v>
      </c>
      <c r="AB83" s="188" t="e" cm="1">
        <f t="array" aca="1" ref="AB83" ca="1">IF(AND($R83=2,ACOMPANHAMENTO="BM"),ROUND(AB84,4),AB85/$S83)</f>
        <v>#VALUE!</v>
      </c>
      <c r="AC83" s="188" t="e" cm="1">
        <f t="array" aca="1" ref="AC83" ca="1">IF(AND($R83=2,ACOMPANHAMENTO="BM"),ROUND(AC84,4),AC85/$S83)</f>
        <v>#VALUE!</v>
      </c>
      <c r="AD83" s="188" t="e" cm="1">
        <f t="array" aca="1" ref="AD83" ca="1">IF(AND($R83=2,ACOMPANHAMENTO="BM"),ROUND(AD84,4),AD85/$S83)</f>
        <v>#VALUE!</v>
      </c>
      <c r="AE83" s="188" t="e" cm="1">
        <f t="array" aca="1" ref="AE83" ca="1">IF(AND($R83=2,ACOMPANHAMENTO="BM"),ROUND(AE84,4),AE85/$S83)</f>
        <v>#VALUE!</v>
      </c>
      <c r="AF83" s="188" t="e" cm="1">
        <f t="array" aca="1" ref="AF83" ca="1">IF(AND($R83=2,ACOMPANHAMENTO="BM"),ROUND(AF84,4),AF85/$S83)</f>
        <v>#VALUE!</v>
      </c>
      <c r="AG83" s="534"/>
    </row>
    <row r="84" spans="1:33" ht="12.75" customHeight="1" x14ac:dyDescent="0.2">
      <c r="E84" s="587"/>
      <c r="F84" s="185">
        <f ca="1">IF(ISERROR(F83),IF(1+COUNTIF($M$13:OFFSET(M83,-1,0),1)&lt;=MAX(QCI!$D$13:$D$24),1+COUNTIF($M$13:OFFSET(M83,-1,0),1),-1),0)</f>
        <v>-1</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SUMIF(CÁLCULO!$AM$15:$AW$22,CRONO!E$12,CÁLCULO!$AB$15:$AL$22)/(ORÇAMENTO!$X$15-CÁLCULO.TotalAdmLocal)*CRONO!$F85,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SUMIF(CÁLCULO!$AM$15:$AW$22,CRONO!U$12,CÁLCULO!$AB$15:$AL$22)/(ORÇAMENTO!$X$15-CÁLCULO.TotalAdmLocal)*CRONO!$F85,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SUMIF(CÁLCULO!$AM$15:$AW$22,CRONO!V$12,CÁLCULO!$AB$15:$AL$22)/(ORÇAMENTO!$X$15-CÁLCULO.TotalAdmLocal)*CRONO!$F85,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SUMIF(CÁLCULO!$AM$15:$AW$22,CRONO!W$12,CÁLCULO!$AB$15:$AL$22)/(ORÇAMENTO!$X$15-CÁLCULO.TotalAdmLocal)*CRONO!$F85,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SUMIF(CÁLCULO!$AM$15:$AW$22,CRONO!X$12,CÁLCULO!$AB$15:$AL$22)/(ORÇAMENTO!$X$15-CÁLCULO.TotalAdmLocal)*CRONO!$F85,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SUMIF(CÁLCULO!$AM$15:$AW$22,CRONO!Y$12,CÁLCULO!$AB$15:$AL$22)/(ORÇAMENTO!$X$15-CÁLCULO.TotalAdmLocal)*CRONO!$F85,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SUMIF(CÁLCULO!$AM$15:$AW$22,CRONO!Z$12,CÁLCULO!$AB$15:$AL$22)/(ORÇAMENTO!$X$15-CÁLCULO.TotalAdmLocal)*CRONO!$F85,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SUMIF(CÁLCULO!$AM$15:$AW$22,CRONO!AA$12,CÁLCULO!$AB$15:$AL$22)/(ORÇAMENTO!$X$15-CÁLCULO.TotalAdmLocal)*CRONO!$F85,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SUMIF(CÁLCULO!$AM$15:$AW$22,CRONO!AB$12,CÁLCULO!$AB$15:$AL$22)/(ORÇAMENTO!$X$15-CÁLCULO.TotalAdmLocal)*CRONO!$F85,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SUMIF(CÁLCULO!$AM$15:$AW$22,CRONO!AC$12,CÁLCULO!$AB$15:$AL$22)/(ORÇAMENTO!$X$15-CÁLCULO.TotalAdmLocal)*CRONO!$F85,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SUMIF(CÁLCULO!$AM$15:$AW$22,CRONO!AD$12,CÁLCULO!$AB$15:$AL$22)/(ORÇAMENTO!$X$15-CÁLCULO.TotalAdmLocal)*CRONO!$F85,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SUMIF(CÁLCULO!$AM$15:$AW$22,CRONO!AE$12,CÁLCULO!$AB$15:$AL$22)/(ORÇAMENTO!$X$15-CÁLCULO.TotalAdmLocal)*CRONO!$F85,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SUMIF(CÁLCULO!$AM$15:$AW$22,CRONO!AF$12,CÁLCULO!$AB$15:$AL$22)/(ORÇAMENTO!$X$15-CÁLCULO.TotalAdmLocal)*CRONO!$F85,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0</v>
      </c>
      <c r="D86" s="185">
        <f ca="1">IF($R86&lt;&gt;2,0,IF($S86=0,1,IF(F87&gt;0,OFFSET(QCI!$N$13,SUBSTITUTE(F87,".",""),0),OFFSET(ORÇAMENTO!$AB$15,CRONO!$F86,0))/$S86))</f>
        <v>0</v>
      </c>
      <c r="E86" s="188" t="e" cm="1">
        <f t="array" aca="1" ref="E86" ca="1">IF(AND($R86=2,ACOMPANHAMENTO="BM"),ROUND(E87,4),E88/$S86)</f>
        <v>#VALUE!</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t="str">
        <f ca="1">IF($F87=0,OFFSET(ORÇAMENTO!O$15,$F86,0),IF($F87&lt;&gt;-1,OFFSET(QCI!$D$13,$F87,0),""))</f>
        <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0</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0</v>
      </c>
      <c r="S86" s="194" t="str">
        <f ca="1">IF($F87=0,OFFSET(ORÇAMENTO!X$15,$F86,0),IF($F87&lt;&gt;-1,OFFSET(QCI!$O$13,$F87,0),""))</f>
        <v/>
      </c>
      <c r="T86" s="195" t="s">
        <v>785</v>
      </c>
      <c r="U86" s="188" t="e" cm="1">
        <f t="array" aca="1" ref="U86" ca="1">IF(AND($R86=2,ACOMPANHAMENTO="BM"),ROUND(U87,4),U88/$S86)</f>
        <v>#VALUE!</v>
      </c>
      <c r="V86" s="188" t="e" cm="1">
        <f t="array" aca="1" ref="V86" ca="1">IF(AND($R86=2,ACOMPANHAMENTO="BM"),ROUND(V87,4),V88/$S86)</f>
        <v>#VALUE!</v>
      </c>
      <c r="W86" s="188" t="e" cm="1">
        <f t="array" aca="1" ref="W86" ca="1">IF(AND($R86=2,ACOMPANHAMENTO="BM"),ROUND(W87,4),W88/$S86)</f>
        <v>#VALUE!</v>
      </c>
      <c r="X86" s="188" t="e" cm="1">
        <f t="array" aca="1" ref="X86" ca="1">IF(AND($R86=2,ACOMPANHAMENTO="BM"),ROUND(X87,4),X88/$S86)</f>
        <v>#VALUE!</v>
      </c>
      <c r="Y86" s="188" t="e" cm="1">
        <f t="array" aca="1" ref="Y86" ca="1">IF(AND($R86=2,ACOMPANHAMENTO="BM"),ROUND(Y87,4),Y88/$S86)</f>
        <v>#VALUE!</v>
      </c>
      <c r="Z86" s="188" t="e" cm="1">
        <f t="array" aca="1" ref="Z86" ca="1">IF(AND($R86=2,ACOMPANHAMENTO="BM"),ROUND(Z87,4),Z88/$S86)</f>
        <v>#VALUE!</v>
      </c>
      <c r="AA86" s="188" t="e" cm="1">
        <f t="array" aca="1" ref="AA86" ca="1">IF(AND($R86=2,ACOMPANHAMENTO="BM"),ROUND(AA87,4),AA88/$S86)</f>
        <v>#VALUE!</v>
      </c>
      <c r="AB86" s="188" t="e" cm="1">
        <f t="array" aca="1" ref="AB86" ca="1">IF(AND($R86=2,ACOMPANHAMENTO="BM"),ROUND(AB87,4),AB88/$S86)</f>
        <v>#VALUE!</v>
      </c>
      <c r="AC86" s="188" t="e" cm="1">
        <f t="array" aca="1" ref="AC86" ca="1">IF(AND($R86=2,ACOMPANHAMENTO="BM"),ROUND(AC87,4),AC88/$S86)</f>
        <v>#VALUE!</v>
      </c>
      <c r="AD86" s="188" t="e" cm="1">
        <f t="array" aca="1" ref="AD86" ca="1">IF(AND($R86=2,ACOMPANHAMENTO="BM"),ROUND(AD87,4),AD88/$S86)</f>
        <v>#VALUE!</v>
      </c>
      <c r="AE86" s="188" t="e" cm="1">
        <f t="array" aca="1" ref="AE86" ca="1">IF(AND($R86=2,ACOMPANHAMENTO="BM"),ROUND(AE87,4),AE88/$S86)</f>
        <v>#VALUE!</v>
      </c>
      <c r="AF86" s="188" t="e" cm="1">
        <f t="array" aca="1" ref="AF86" ca="1">IF(AND($R86=2,ACOMPANHAMENTO="BM"),ROUND(AF87,4),AF88/$S86)</f>
        <v>#VALUE!</v>
      </c>
      <c r="AG86" s="534"/>
    </row>
    <row r="87" spans="1:33" ht="12.75" customHeight="1" x14ac:dyDescent="0.2">
      <c r="E87" s="587"/>
      <c r="F87" s="185">
        <f ca="1">IF(ISERROR(F86),IF(1+COUNTIF($M$13:OFFSET(M86,-1,0),1)&lt;=MAX(QCI!$D$13:$D$24),1+COUNTIF($M$13:OFFSET(M86,-1,0),1),-1),0)</f>
        <v>-1</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SUMIF(CÁLCULO!$AM$15:$AW$22,CRONO!E$12,CÁLCULO!$AB$15:$AL$22)/(ORÇAMENTO!$X$15-CÁLCULO.TotalAdmLocal)*CRONO!$F88,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SUMIF(CÁLCULO!$AM$15:$AW$22,CRONO!U$12,CÁLCULO!$AB$15:$AL$22)/(ORÇAMENTO!$X$15-CÁLCULO.TotalAdmLocal)*CRONO!$F88,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SUMIF(CÁLCULO!$AM$15:$AW$22,CRONO!V$12,CÁLCULO!$AB$15:$AL$22)/(ORÇAMENTO!$X$15-CÁLCULO.TotalAdmLocal)*CRONO!$F88,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SUMIF(CÁLCULO!$AM$15:$AW$22,CRONO!W$12,CÁLCULO!$AB$15:$AL$22)/(ORÇAMENTO!$X$15-CÁLCULO.TotalAdmLocal)*CRONO!$F88,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SUMIF(CÁLCULO!$AM$15:$AW$22,CRONO!X$12,CÁLCULO!$AB$15:$AL$22)/(ORÇAMENTO!$X$15-CÁLCULO.TotalAdmLocal)*CRONO!$F88,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SUMIF(CÁLCULO!$AM$15:$AW$22,CRONO!Y$12,CÁLCULO!$AB$15:$AL$22)/(ORÇAMENTO!$X$15-CÁLCULO.TotalAdmLocal)*CRONO!$F88,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SUMIF(CÁLCULO!$AM$15:$AW$22,CRONO!Z$12,CÁLCULO!$AB$15:$AL$22)/(ORÇAMENTO!$X$15-CÁLCULO.TotalAdmLocal)*CRONO!$F88,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SUMIF(CÁLCULO!$AM$15:$AW$22,CRONO!AA$12,CÁLCULO!$AB$15:$AL$22)/(ORÇAMENTO!$X$15-CÁLCULO.TotalAdmLocal)*CRONO!$F88,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SUMIF(CÁLCULO!$AM$15:$AW$22,CRONO!AB$12,CÁLCULO!$AB$15:$AL$22)/(ORÇAMENTO!$X$15-CÁLCULO.TotalAdmLocal)*CRONO!$F88,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SUMIF(CÁLCULO!$AM$15:$AW$22,CRONO!AC$12,CÁLCULO!$AB$15:$AL$22)/(ORÇAMENTO!$X$15-CÁLCULO.TotalAdmLocal)*CRONO!$F88,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SUMIF(CÁLCULO!$AM$15:$AW$22,CRONO!AD$12,CÁLCULO!$AB$15:$AL$22)/(ORÇAMENTO!$X$15-CÁLCULO.TotalAdmLocal)*CRONO!$F88,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SUMIF(CÁLCULO!$AM$15:$AW$22,CRONO!AE$12,CÁLCULO!$AB$15:$AL$22)/(ORÇAMENTO!$X$15-CÁLCULO.TotalAdmLocal)*CRONO!$F88,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SUMIF(CÁLCULO!$AM$15:$AW$22,CRONO!AF$12,CÁLCULO!$AB$15:$AL$22)/(ORÇAMENTO!$X$15-CÁLCULO.TotalAdmLocal)*CRONO!$F88,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0</v>
      </c>
      <c r="D89" s="185">
        <f ca="1">IF($R89&lt;&gt;2,0,IF($S89=0,1,IF(F90&gt;0,OFFSET(QCI!$N$13,SUBSTITUTE(F90,".",""),0),OFFSET(ORÇAMENTO!$AB$15,CRONO!$F89,0))/$S89))</f>
        <v>0</v>
      </c>
      <c r="E89" s="188" t="e" cm="1">
        <f t="array" aca="1" ref="E89" ca="1">IF(AND($R89=2,ACOMPANHAMENTO="BM"),ROUND(E90,4),E91/$S89)</f>
        <v>#VALUE!</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t="str">
        <f ca="1">IF($F90=0,OFFSET(ORÇAMENTO!O$15,$F89,0),IF($F90&lt;&gt;-1,OFFSET(QCI!$D$13,$F90,0),""))</f>
        <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0</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0</v>
      </c>
      <c r="S89" s="194" t="str">
        <f ca="1">IF($F90=0,OFFSET(ORÇAMENTO!X$15,$F89,0),IF($F90&lt;&gt;-1,OFFSET(QCI!$O$13,$F90,0),""))</f>
        <v/>
      </c>
      <c r="T89" s="195" t="s">
        <v>785</v>
      </c>
      <c r="U89" s="188" t="e" cm="1">
        <f t="array" aca="1" ref="U89" ca="1">IF(AND($R89=2,ACOMPANHAMENTO="BM"),ROUND(U90,4),U91/$S89)</f>
        <v>#VALUE!</v>
      </c>
      <c r="V89" s="188" t="e" cm="1">
        <f t="array" aca="1" ref="V89" ca="1">IF(AND($R89=2,ACOMPANHAMENTO="BM"),ROUND(V90,4),V91/$S89)</f>
        <v>#VALUE!</v>
      </c>
      <c r="W89" s="188" t="e" cm="1">
        <f t="array" aca="1" ref="W89" ca="1">IF(AND($R89=2,ACOMPANHAMENTO="BM"),ROUND(W90,4),W91/$S89)</f>
        <v>#VALUE!</v>
      </c>
      <c r="X89" s="188" t="e" cm="1">
        <f t="array" aca="1" ref="X89" ca="1">IF(AND($R89=2,ACOMPANHAMENTO="BM"),ROUND(X90,4),X91/$S89)</f>
        <v>#VALUE!</v>
      </c>
      <c r="Y89" s="188" t="e" cm="1">
        <f t="array" aca="1" ref="Y89" ca="1">IF(AND($R89=2,ACOMPANHAMENTO="BM"),ROUND(Y90,4),Y91/$S89)</f>
        <v>#VALUE!</v>
      </c>
      <c r="Z89" s="188" t="e" cm="1">
        <f t="array" aca="1" ref="Z89" ca="1">IF(AND($R89=2,ACOMPANHAMENTO="BM"),ROUND(Z90,4),Z91/$S89)</f>
        <v>#VALUE!</v>
      </c>
      <c r="AA89" s="188" t="e" cm="1">
        <f t="array" aca="1" ref="AA89" ca="1">IF(AND($R89=2,ACOMPANHAMENTO="BM"),ROUND(AA90,4),AA91/$S89)</f>
        <v>#VALUE!</v>
      </c>
      <c r="AB89" s="188" t="e" cm="1">
        <f t="array" aca="1" ref="AB89" ca="1">IF(AND($R89=2,ACOMPANHAMENTO="BM"),ROUND(AB90,4),AB91/$S89)</f>
        <v>#VALUE!</v>
      </c>
      <c r="AC89" s="188" t="e" cm="1">
        <f t="array" aca="1" ref="AC89" ca="1">IF(AND($R89=2,ACOMPANHAMENTO="BM"),ROUND(AC90,4),AC91/$S89)</f>
        <v>#VALUE!</v>
      </c>
      <c r="AD89" s="188" t="e" cm="1">
        <f t="array" aca="1" ref="AD89" ca="1">IF(AND($R89=2,ACOMPANHAMENTO="BM"),ROUND(AD90,4),AD91/$S89)</f>
        <v>#VALUE!</v>
      </c>
      <c r="AE89" s="188" t="e" cm="1">
        <f t="array" aca="1" ref="AE89" ca="1">IF(AND($R89=2,ACOMPANHAMENTO="BM"),ROUND(AE90,4),AE91/$S89)</f>
        <v>#VALUE!</v>
      </c>
      <c r="AF89" s="188" t="e" cm="1">
        <f t="array" aca="1" ref="AF89" ca="1">IF(AND($R89=2,ACOMPANHAMENTO="BM"),ROUND(AF90,4),AF91/$S89)</f>
        <v>#VALUE!</v>
      </c>
      <c r="AG89" s="534"/>
    </row>
    <row r="90" spans="1:33" ht="12.75" customHeight="1" x14ac:dyDescent="0.2">
      <c r="E90" s="587"/>
      <c r="F90" s="185">
        <f ca="1">IF(ISERROR(F89),IF(1+COUNTIF($M$13:OFFSET(M89,-1,0),1)&lt;=MAX(QCI!$D$13:$D$24),1+COUNTIF($M$13:OFFSET(M89,-1,0),1),-1),0)</f>
        <v>-1</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SUMIF(CÁLCULO!$AM$15:$AW$22,CRONO!E$12,CÁLCULO!$AB$15:$AL$22)/(ORÇAMENTO!$X$15-CÁLCULO.TotalAdmLocal)*CRONO!$F91,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SUMIF(CÁLCULO!$AM$15:$AW$22,CRONO!U$12,CÁLCULO!$AB$15:$AL$22)/(ORÇAMENTO!$X$15-CÁLCULO.TotalAdmLocal)*CRONO!$F91,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SUMIF(CÁLCULO!$AM$15:$AW$22,CRONO!V$12,CÁLCULO!$AB$15:$AL$22)/(ORÇAMENTO!$X$15-CÁLCULO.TotalAdmLocal)*CRONO!$F91,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SUMIF(CÁLCULO!$AM$15:$AW$22,CRONO!W$12,CÁLCULO!$AB$15:$AL$22)/(ORÇAMENTO!$X$15-CÁLCULO.TotalAdmLocal)*CRONO!$F91,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SUMIF(CÁLCULO!$AM$15:$AW$22,CRONO!X$12,CÁLCULO!$AB$15:$AL$22)/(ORÇAMENTO!$X$15-CÁLCULO.TotalAdmLocal)*CRONO!$F91,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SUMIF(CÁLCULO!$AM$15:$AW$22,CRONO!Y$12,CÁLCULO!$AB$15:$AL$22)/(ORÇAMENTO!$X$15-CÁLCULO.TotalAdmLocal)*CRONO!$F91,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SUMIF(CÁLCULO!$AM$15:$AW$22,CRONO!Z$12,CÁLCULO!$AB$15:$AL$22)/(ORÇAMENTO!$X$15-CÁLCULO.TotalAdmLocal)*CRONO!$F91,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SUMIF(CÁLCULO!$AM$15:$AW$22,CRONO!AA$12,CÁLCULO!$AB$15:$AL$22)/(ORÇAMENTO!$X$15-CÁLCULO.TotalAdmLocal)*CRONO!$F91,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SUMIF(CÁLCULO!$AM$15:$AW$22,CRONO!AB$12,CÁLCULO!$AB$15:$AL$22)/(ORÇAMENTO!$X$15-CÁLCULO.TotalAdmLocal)*CRONO!$F91,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SUMIF(CÁLCULO!$AM$15:$AW$22,CRONO!AC$12,CÁLCULO!$AB$15:$AL$22)/(ORÇAMENTO!$X$15-CÁLCULO.TotalAdmLocal)*CRONO!$F91,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SUMIF(CÁLCULO!$AM$15:$AW$22,CRONO!AD$12,CÁLCULO!$AB$15:$AL$22)/(ORÇAMENTO!$X$15-CÁLCULO.TotalAdmLocal)*CRONO!$F91,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SUMIF(CÁLCULO!$AM$15:$AW$22,CRONO!AE$12,CÁLCULO!$AB$15:$AL$22)/(ORÇAMENTO!$X$15-CÁLCULO.TotalAdmLocal)*CRONO!$F91,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SUMIF(CÁLCULO!$AM$15:$AW$22,CRONO!AF$12,CÁLCULO!$AB$15:$AL$22)/(ORÇAMENTO!$X$15-CÁLCULO.TotalAdmLocal)*CRONO!$F91,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SUMIF(CÁLCULO!$AM$15:$AW$22,CRONO!E$12,CÁLCULO!$AB$15:$AL$22)/(ORÇAMENTO!$X$15-CÁLCULO.TotalAdmLocal)*CRONO!$F94,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SUMIF(CÁLCULO!$AM$15:$AW$22,CRONO!U$12,CÁLCULO!$AB$15:$AL$22)/(ORÇAMENTO!$X$15-CÁLCULO.TotalAdmLocal)*CRONO!$F94,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SUMIF(CÁLCULO!$AM$15:$AW$22,CRONO!V$12,CÁLCULO!$AB$15:$AL$22)/(ORÇAMENTO!$X$15-CÁLCULO.TotalAdmLocal)*CRONO!$F94,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SUMIF(CÁLCULO!$AM$15:$AW$22,CRONO!W$12,CÁLCULO!$AB$15:$AL$22)/(ORÇAMENTO!$X$15-CÁLCULO.TotalAdmLocal)*CRONO!$F94,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SUMIF(CÁLCULO!$AM$15:$AW$22,CRONO!X$12,CÁLCULO!$AB$15:$AL$22)/(ORÇAMENTO!$X$15-CÁLCULO.TotalAdmLocal)*CRONO!$F94,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SUMIF(CÁLCULO!$AM$15:$AW$22,CRONO!Y$12,CÁLCULO!$AB$15:$AL$22)/(ORÇAMENTO!$X$15-CÁLCULO.TotalAdmLocal)*CRONO!$F94,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SUMIF(CÁLCULO!$AM$15:$AW$22,CRONO!Z$12,CÁLCULO!$AB$15:$AL$22)/(ORÇAMENTO!$X$15-CÁLCULO.TotalAdmLocal)*CRONO!$F94,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SUMIF(CÁLCULO!$AM$15:$AW$22,CRONO!AA$12,CÁLCULO!$AB$15:$AL$22)/(ORÇAMENTO!$X$15-CÁLCULO.TotalAdmLocal)*CRONO!$F94,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SUMIF(CÁLCULO!$AM$15:$AW$22,CRONO!AB$12,CÁLCULO!$AB$15:$AL$22)/(ORÇAMENTO!$X$15-CÁLCULO.TotalAdmLocal)*CRONO!$F94,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SUMIF(CÁLCULO!$AM$15:$AW$22,CRONO!AC$12,CÁLCULO!$AB$15:$AL$22)/(ORÇAMENTO!$X$15-CÁLCULO.TotalAdmLocal)*CRONO!$F94,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SUMIF(CÁLCULO!$AM$15:$AW$22,CRONO!AD$12,CÁLCULO!$AB$15:$AL$22)/(ORÇAMENTO!$X$15-CÁLCULO.TotalAdmLocal)*CRONO!$F94,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SUMIF(CÁLCULO!$AM$15:$AW$22,CRONO!AE$12,CÁLCULO!$AB$15:$AL$22)/(ORÇAMENTO!$X$15-CÁLCULO.TotalAdmLocal)*CRONO!$F94,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SUMIF(CÁLCULO!$AM$15:$AW$22,CRONO!AF$12,CÁLCULO!$AB$15:$AL$22)/(ORÇAMENTO!$X$15-CÁLCULO.TotalAdmLocal)*CRONO!$F94,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SUMIF(CÁLCULO!$AM$15:$AW$22,CRONO!E$12,CÁLCULO!$AB$15:$AL$22)/(ORÇAMENTO!$X$15-CÁLCULO.TotalAdmLocal)*CRONO!$F97,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SUMIF(CÁLCULO!$AM$15:$AW$22,CRONO!U$12,CÁLCULO!$AB$15:$AL$22)/(ORÇAMENTO!$X$15-CÁLCULO.TotalAdmLocal)*CRONO!$F97,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SUMIF(CÁLCULO!$AM$15:$AW$22,CRONO!V$12,CÁLCULO!$AB$15:$AL$22)/(ORÇAMENTO!$X$15-CÁLCULO.TotalAdmLocal)*CRONO!$F97,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SUMIF(CÁLCULO!$AM$15:$AW$22,CRONO!W$12,CÁLCULO!$AB$15:$AL$22)/(ORÇAMENTO!$X$15-CÁLCULO.TotalAdmLocal)*CRONO!$F97,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SUMIF(CÁLCULO!$AM$15:$AW$22,CRONO!X$12,CÁLCULO!$AB$15:$AL$22)/(ORÇAMENTO!$X$15-CÁLCULO.TotalAdmLocal)*CRONO!$F97,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SUMIF(CÁLCULO!$AM$15:$AW$22,CRONO!Y$12,CÁLCULO!$AB$15:$AL$22)/(ORÇAMENTO!$X$15-CÁLCULO.TotalAdmLocal)*CRONO!$F97,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SUMIF(CÁLCULO!$AM$15:$AW$22,CRONO!Z$12,CÁLCULO!$AB$15:$AL$22)/(ORÇAMENTO!$X$15-CÁLCULO.TotalAdmLocal)*CRONO!$F97,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SUMIF(CÁLCULO!$AM$15:$AW$22,CRONO!AA$12,CÁLCULO!$AB$15:$AL$22)/(ORÇAMENTO!$X$15-CÁLCULO.TotalAdmLocal)*CRONO!$F97,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SUMIF(CÁLCULO!$AM$15:$AW$22,CRONO!AB$12,CÁLCULO!$AB$15:$AL$22)/(ORÇAMENTO!$X$15-CÁLCULO.TotalAdmLocal)*CRONO!$F97,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SUMIF(CÁLCULO!$AM$15:$AW$22,CRONO!AC$12,CÁLCULO!$AB$15:$AL$22)/(ORÇAMENTO!$X$15-CÁLCULO.TotalAdmLocal)*CRONO!$F97,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SUMIF(CÁLCULO!$AM$15:$AW$22,CRONO!AD$12,CÁLCULO!$AB$15:$AL$22)/(ORÇAMENTO!$X$15-CÁLCULO.TotalAdmLocal)*CRONO!$F97,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SUMIF(CÁLCULO!$AM$15:$AW$22,CRONO!AE$12,CÁLCULO!$AB$15:$AL$22)/(ORÇAMENTO!$X$15-CÁLCULO.TotalAdmLocal)*CRONO!$F97,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SUMIF(CÁLCULO!$AM$15:$AW$22,CRONO!AF$12,CÁLCULO!$AB$15:$AL$22)/(ORÇAMENTO!$X$15-CÁLCULO.TotalAdmLocal)*CRONO!$F97,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SUMIF(CÁLCULO!$AM$15:$AW$22,CRONO!E$12,CÁLCULO!$AB$15:$AL$22)/(ORÇAMENTO!$X$15-CÁLCULO.TotalAdmLocal)*CRONO!$F100,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SUMIF(CÁLCULO!$AM$15:$AW$22,CRONO!U$12,CÁLCULO!$AB$15:$AL$22)/(ORÇAMENTO!$X$15-CÁLCULO.TotalAdmLocal)*CRONO!$F100,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SUMIF(CÁLCULO!$AM$15:$AW$22,CRONO!V$12,CÁLCULO!$AB$15:$AL$22)/(ORÇAMENTO!$X$15-CÁLCULO.TotalAdmLocal)*CRONO!$F100,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SUMIF(CÁLCULO!$AM$15:$AW$22,CRONO!W$12,CÁLCULO!$AB$15:$AL$22)/(ORÇAMENTO!$X$15-CÁLCULO.TotalAdmLocal)*CRONO!$F100,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SUMIF(CÁLCULO!$AM$15:$AW$22,CRONO!X$12,CÁLCULO!$AB$15:$AL$22)/(ORÇAMENTO!$X$15-CÁLCULO.TotalAdmLocal)*CRONO!$F100,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SUMIF(CÁLCULO!$AM$15:$AW$22,CRONO!Y$12,CÁLCULO!$AB$15:$AL$22)/(ORÇAMENTO!$X$15-CÁLCULO.TotalAdmLocal)*CRONO!$F100,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SUMIF(CÁLCULO!$AM$15:$AW$22,CRONO!Z$12,CÁLCULO!$AB$15:$AL$22)/(ORÇAMENTO!$X$15-CÁLCULO.TotalAdmLocal)*CRONO!$F100,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SUMIF(CÁLCULO!$AM$15:$AW$22,CRONO!AA$12,CÁLCULO!$AB$15:$AL$22)/(ORÇAMENTO!$X$15-CÁLCULO.TotalAdmLocal)*CRONO!$F100,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SUMIF(CÁLCULO!$AM$15:$AW$22,CRONO!AB$12,CÁLCULO!$AB$15:$AL$22)/(ORÇAMENTO!$X$15-CÁLCULO.TotalAdmLocal)*CRONO!$F100,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SUMIF(CÁLCULO!$AM$15:$AW$22,CRONO!AC$12,CÁLCULO!$AB$15:$AL$22)/(ORÇAMENTO!$X$15-CÁLCULO.TotalAdmLocal)*CRONO!$F100,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SUMIF(CÁLCULO!$AM$15:$AW$22,CRONO!AD$12,CÁLCULO!$AB$15:$AL$22)/(ORÇAMENTO!$X$15-CÁLCULO.TotalAdmLocal)*CRONO!$F100,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SUMIF(CÁLCULO!$AM$15:$AW$22,CRONO!AE$12,CÁLCULO!$AB$15:$AL$22)/(ORÇAMENTO!$X$15-CÁLCULO.TotalAdmLocal)*CRONO!$F100,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SUMIF(CÁLCULO!$AM$15:$AW$22,CRONO!AF$12,CÁLCULO!$AB$15:$AL$22)/(ORÇAMENTO!$X$15-CÁLCULO.TotalAdmLocal)*CRONO!$F100,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SUMIF(CÁLCULO!$AM$15:$AW$22,CRONO!E$12,CÁLCULO!$AB$15:$AL$22)/(ORÇAMENTO!$X$15-CÁLCULO.TotalAdmLocal)*CRONO!$F103,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SUMIF(CÁLCULO!$AM$15:$AW$22,CRONO!U$12,CÁLCULO!$AB$15:$AL$22)/(ORÇAMENTO!$X$15-CÁLCULO.TotalAdmLocal)*CRONO!$F103,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SUMIF(CÁLCULO!$AM$15:$AW$22,CRONO!V$12,CÁLCULO!$AB$15:$AL$22)/(ORÇAMENTO!$X$15-CÁLCULO.TotalAdmLocal)*CRONO!$F103,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SUMIF(CÁLCULO!$AM$15:$AW$22,CRONO!W$12,CÁLCULO!$AB$15:$AL$22)/(ORÇAMENTO!$X$15-CÁLCULO.TotalAdmLocal)*CRONO!$F103,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SUMIF(CÁLCULO!$AM$15:$AW$22,CRONO!X$12,CÁLCULO!$AB$15:$AL$22)/(ORÇAMENTO!$X$15-CÁLCULO.TotalAdmLocal)*CRONO!$F103,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SUMIF(CÁLCULO!$AM$15:$AW$22,CRONO!Y$12,CÁLCULO!$AB$15:$AL$22)/(ORÇAMENTO!$X$15-CÁLCULO.TotalAdmLocal)*CRONO!$F103,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SUMIF(CÁLCULO!$AM$15:$AW$22,CRONO!Z$12,CÁLCULO!$AB$15:$AL$22)/(ORÇAMENTO!$X$15-CÁLCULO.TotalAdmLocal)*CRONO!$F103,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SUMIF(CÁLCULO!$AM$15:$AW$22,CRONO!AA$12,CÁLCULO!$AB$15:$AL$22)/(ORÇAMENTO!$X$15-CÁLCULO.TotalAdmLocal)*CRONO!$F103,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SUMIF(CÁLCULO!$AM$15:$AW$22,CRONO!AB$12,CÁLCULO!$AB$15:$AL$22)/(ORÇAMENTO!$X$15-CÁLCULO.TotalAdmLocal)*CRONO!$F103,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SUMIF(CÁLCULO!$AM$15:$AW$22,CRONO!AC$12,CÁLCULO!$AB$15:$AL$22)/(ORÇAMENTO!$X$15-CÁLCULO.TotalAdmLocal)*CRONO!$F103,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SUMIF(CÁLCULO!$AM$15:$AW$22,CRONO!AD$12,CÁLCULO!$AB$15:$AL$22)/(ORÇAMENTO!$X$15-CÁLCULO.TotalAdmLocal)*CRONO!$F103,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SUMIF(CÁLCULO!$AM$15:$AW$22,CRONO!AE$12,CÁLCULO!$AB$15:$AL$22)/(ORÇAMENTO!$X$15-CÁLCULO.TotalAdmLocal)*CRONO!$F103,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SUMIF(CÁLCULO!$AM$15:$AW$22,CRONO!AF$12,CÁLCULO!$AB$15:$AL$22)/(ORÇAMENTO!$X$15-CÁLCULO.TotalAdmLocal)*CRONO!$F103,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SUMIF(CÁLCULO!$AM$15:$AW$22,CRONO!E$12,CÁLCULO!$AB$15:$AL$22)/(ORÇAMENTO!$X$15-CÁLCULO.TotalAdmLocal)*CRONO!$F106,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SUMIF(CÁLCULO!$AM$15:$AW$22,CRONO!U$12,CÁLCULO!$AB$15:$AL$22)/(ORÇAMENTO!$X$15-CÁLCULO.TotalAdmLocal)*CRONO!$F106,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SUMIF(CÁLCULO!$AM$15:$AW$22,CRONO!V$12,CÁLCULO!$AB$15:$AL$22)/(ORÇAMENTO!$X$15-CÁLCULO.TotalAdmLocal)*CRONO!$F106,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SUMIF(CÁLCULO!$AM$15:$AW$22,CRONO!W$12,CÁLCULO!$AB$15:$AL$22)/(ORÇAMENTO!$X$15-CÁLCULO.TotalAdmLocal)*CRONO!$F106,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SUMIF(CÁLCULO!$AM$15:$AW$22,CRONO!X$12,CÁLCULO!$AB$15:$AL$22)/(ORÇAMENTO!$X$15-CÁLCULO.TotalAdmLocal)*CRONO!$F106,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SUMIF(CÁLCULO!$AM$15:$AW$22,CRONO!Y$12,CÁLCULO!$AB$15:$AL$22)/(ORÇAMENTO!$X$15-CÁLCULO.TotalAdmLocal)*CRONO!$F106,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SUMIF(CÁLCULO!$AM$15:$AW$22,CRONO!Z$12,CÁLCULO!$AB$15:$AL$22)/(ORÇAMENTO!$X$15-CÁLCULO.TotalAdmLocal)*CRONO!$F106,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SUMIF(CÁLCULO!$AM$15:$AW$22,CRONO!AA$12,CÁLCULO!$AB$15:$AL$22)/(ORÇAMENTO!$X$15-CÁLCULO.TotalAdmLocal)*CRONO!$F106,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SUMIF(CÁLCULO!$AM$15:$AW$22,CRONO!AB$12,CÁLCULO!$AB$15:$AL$22)/(ORÇAMENTO!$X$15-CÁLCULO.TotalAdmLocal)*CRONO!$F106,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SUMIF(CÁLCULO!$AM$15:$AW$22,CRONO!AC$12,CÁLCULO!$AB$15:$AL$22)/(ORÇAMENTO!$X$15-CÁLCULO.TotalAdmLocal)*CRONO!$F106,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SUMIF(CÁLCULO!$AM$15:$AW$22,CRONO!AD$12,CÁLCULO!$AB$15:$AL$22)/(ORÇAMENTO!$X$15-CÁLCULO.TotalAdmLocal)*CRONO!$F106,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SUMIF(CÁLCULO!$AM$15:$AW$22,CRONO!AE$12,CÁLCULO!$AB$15:$AL$22)/(ORÇAMENTO!$X$15-CÁLCULO.TotalAdmLocal)*CRONO!$F106,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SUMIF(CÁLCULO!$AM$15:$AW$22,CRONO!AF$12,CÁLCULO!$AB$15:$AL$22)/(ORÇAMENTO!$X$15-CÁLCULO.TotalAdmLocal)*CRONO!$F106,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SUMIF(CÁLCULO!$AM$15:$AW$22,CRONO!E$12,CÁLCULO!$AB$15:$AL$22)/(ORÇAMENTO!$X$15-CÁLCULO.TotalAdmLocal)*CRONO!$F109,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SUMIF(CÁLCULO!$AM$15:$AW$22,CRONO!U$12,CÁLCULO!$AB$15:$AL$22)/(ORÇAMENTO!$X$15-CÁLCULO.TotalAdmLocal)*CRONO!$F109,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SUMIF(CÁLCULO!$AM$15:$AW$22,CRONO!V$12,CÁLCULO!$AB$15:$AL$22)/(ORÇAMENTO!$X$15-CÁLCULO.TotalAdmLocal)*CRONO!$F109,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SUMIF(CÁLCULO!$AM$15:$AW$22,CRONO!W$12,CÁLCULO!$AB$15:$AL$22)/(ORÇAMENTO!$X$15-CÁLCULO.TotalAdmLocal)*CRONO!$F109,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SUMIF(CÁLCULO!$AM$15:$AW$22,CRONO!X$12,CÁLCULO!$AB$15:$AL$22)/(ORÇAMENTO!$X$15-CÁLCULO.TotalAdmLocal)*CRONO!$F109,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SUMIF(CÁLCULO!$AM$15:$AW$22,CRONO!Y$12,CÁLCULO!$AB$15:$AL$22)/(ORÇAMENTO!$X$15-CÁLCULO.TotalAdmLocal)*CRONO!$F109,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SUMIF(CÁLCULO!$AM$15:$AW$22,CRONO!Z$12,CÁLCULO!$AB$15:$AL$22)/(ORÇAMENTO!$X$15-CÁLCULO.TotalAdmLocal)*CRONO!$F109,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SUMIF(CÁLCULO!$AM$15:$AW$22,CRONO!AA$12,CÁLCULO!$AB$15:$AL$22)/(ORÇAMENTO!$X$15-CÁLCULO.TotalAdmLocal)*CRONO!$F109,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SUMIF(CÁLCULO!$AM$15:$AW$22,CRONO!AB$12,CÁLCULO!$AB$15:$AL$22)/(ORÇAMENTO!$X$15-CÁLCULO.TotalAdmLocal)*CRONO!$F109,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SUMIF(CÁLCULO!$AM$15:$AW$22,CRONO!AC$12,CÁLCULO!$AB$15:$AL$22)/(ORÇAMENTO!$X$15-CÁLCULO.TotalAdmLocal)*CRONO!$F109,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SUMIF(CÁLCULO!$AM$15:$AW$22,CRONO!AD$12,CÁLCULO!$AB$15:$AL$22)/(ORÇAMENTO!$X$15-CÁLCULO.TotalAdmLocal)*CRONO!$F109,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SUMIF(CÁLCULO!$AM$15:$AW$22,CRONO!AE$12,CÁLCULO!$AB$15:$AL$22)/(ORÇAMENTO!$X$15-CÁLCULO.TotalAdmLocal)*CRONO!$F109,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SUMIF(CÁLCULO!$AM$15:$AW$22,CRONO!AF$12,CÁLCULO!$AB$15:$AL$22)/(ORÇAMENTO!$X$15-CÁLCULO.TotalAdmLocal)*CRONO!$F109,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SUMIF(CÁLCULO!$AM$15:$AW$22,CRONO!E$12,CÁLCULO!$AB$15:$AL$22)/(ORÇAMENTO!$X$15-CÁLCULO.TotalAdmLocal)*CRONO!$F112,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SUMIF(CÁLCULO!$AM$15:$AW$22,CRONO!U$12,CÁLCULO!$AB$15:$AL$22)/(ORÇAMENTO!$X$15-CÁLCULO.TotalAdmLocal)*CRONO!$F112,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SUMIF(CÁLCULO!$AM$15:$AW$22,CRONO!V$12,CÁLCULO!$AB$15:$AL$22)/(ORÇAMENTO!$X$15-CÁLCULO.TotalAdmLocal)*CRONO!$F112,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SUMIF(CÁLCULO!$AM$15:$AW$22,CRONO!W$12,CÁLCULO!$AB$15:$AL$22)/(ORÇAMENTO!$X$15-CÁLCULO.TotalAdmLocal)*CRONO!$F112,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SUMIF(CÁLCULO!$AM$15:$AW$22,CRONO!X$12,CÁLCULO!$AB$15:$AL$22)/(ORÇAMENTO!$X$15-CÁLCULO.TotalAdmLocal)*CRONO!$F112,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SUMIF(CÁLCULO!$AM$15:$AW$22,CRONO!Y$12,CÁLCULO!$AB$15:$AL$22)/(ORÇAMENTO!$X$15-CÁLCULO.TotalAdmLocal)*CRONO!$F112,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SUMIF(CÁLCULO!$AM$15:$AW$22,CRONO!Z$12,CÁLCULO!$AB$15:$AL$22)/(ORÇAMENTO!$X$15-CÁLCULO.TotalAdmLocal)*CRONO!$F112,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SUMIF(CÁLCULO!$AM$15:$AW$22,CRONO!AA$12,CÁLCULO!$AB$15:$AL$22)/(ORÇAMENTO!$X$15-CÁLCULO.TotalAdmLocal)*CRONO!$F112,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SUMIF(CÁLCULO!$AM$15:$AW$22,CRONO!AB$12,CÁLCULO!$AB$15:$AL$22)/(ORÇAMENTO!$X$15-CÁLCULO.TotalAdmLocal)*CRONO!$F112,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SUMIF(CÁLCULO!$AM$15:$AW$22,CRONO!AC$12,CÁLCULO!$AB$15:$AL$22)/(ORÇAMENTO!$X$15-CÁLCULO.TotalAdmLocal)*CRONO!$F112,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SUMIF(CÁLCULO!$AM$15:$AW$22,CRONO!AD$12,CÁLCULO!$AB$15:$AL$22)/(ORÇAMENTO!$X$15-CÁLCULO.TotalAdmLocal)*CRONO!$F112,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SUMIF(CÁLCULO!$AM$15:$AW$22,CRONO!AE$12,CÁLCULO!$AB$15:$AL$22)/(ORÇAMENTO!$X$15-CÁLCULO.TotalAdmLocal)*CRONO!$F112,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SUMIF(CÁLCULO!$AM$15:$AW$22,CRONO!AF$12,CÁLCULO!$AB$15:$AL$22)/(ORÇAMENTO!$X$15-CÁLCULO.TotalAdmLocal)*CRONO!$F112,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SUMIF(CÁLCULO!$AM$15:$AW$22,CRONO!E$12,CÁLCULO!$AB$15:$AL$22)/(ORÇAMENTO!$X$15-CÁLCULO.TotalAdmLocal)*CRONO!$F115,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SUMIF(CÁLCULO!$AM$15:$AW$22,CRONO!U$12,CÁLCULO!$AB$15:$AL$22)/(ORÇAMENTO!$X$15-CÁLCULO.TotalAdmLocal)*CRONO!$F115,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SUMIF(CÁLCULO!$AM$15:$AW$22,CRONO!V$12,CÁLCULO!$AB$15:$AL$22)/(ORÇAMENTO!$X$15-CÁLCULO.TotalAdmLocal)*CRONO!$F115,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SUMIF(CÁLCULO!$AM$15:$AW$22,CRONO!W$12,CÁLCULO!$AB$15:$AL$22)/(ORÇAMENTO!$X$15-CÁLCULO.TotalAdmLocal)*CRONO!$F115,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SUMIF(CÁLCULO!$AM$15:$AW$22,CRONO!X$12,CÁLCULO!$AB$15:$AL$22)/(ORÇAMENTO!$X$15-CÁLCULO.TotalAdmLocal)*CRONO!$F115,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SUMIF(CÁLCULO!$AM$15:$AW$22,CRONO!Y$12,CÁLCULO!$AB$15:$AL$22)/(ORÇAMENTO!$X$15-CÁLCULO.TotalAdmLocal)*CRONO!$F115,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SUMIF(CÁLCULO!$AM$15:$AW$22,CRONO!Z$12,CÁLCULO!$AB$15:$AL$22)/(ORÇAMENTO!$X$15-CÁLCULO.TotalAdmLocal)*CRONO!$F115,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SUMIF(CÁLCULO!$AM$15:$AW$22,CRONO!AA$12,CÁLCULO!$AB$15:$AL$22)/(ORÇAMENTO!$X$15-CÁLCULO.TotalAdmLocal)*CRONO!$F115,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SUMIF(CÁLCULO!$AM$15:$AW$22,CRONO!AB$12,CÁLCULO!$AB$15:$AL$22)/(ORÇAMENTO!$X$15-CÁLCULO.TotalAdmLocal)*CRONO!$F115,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SUMIF(CÁLCULO!$AM$15:$AW$22,CRONO!AC$12,CÁLCULO!$AB$15:$AL$22)/(ORÇAMENTO!$X$15-CÁLCULO.TotalAdmLocal)*CRONO!$F115,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SUMIF(CÁLCULO!$AM$15:$AW$22,CRONO!AD$12,CÁLCULO!$AB$15:$AL$22)/(ORÇAMENTO!$X$15-CÁLCULO.TotalAdmLocal)*CRONO!$F115,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SUMIF(CÁLCULO!$AM$15:$AW$22,CRONO!AE$12,CÁLCULO!$AB$15:$AL$22)/(ORÇAMENTO!$X$15-CÁLCULO.TotalAdmLocal)*CRONO!$F115,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SUMIF(CÁLCULO!$AM$15:$AW$22,CRONO!AF$12,CÁLCULO!$AB$15:$AL$22)/(ORÇAMENTO!$X$15-CÁLCULO.TotalAdmLocal)*CRONO!$F115,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SUMIF(CÁLCULO!$AM$15:$AW$22,CRONO!E$12,CÁLCULO!$AB$15:$AL$22)/(ORÇAMENTO!$X$15-CÁLCULO.TotalAdmLocal)*CRONO!$F118,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SUMIF(CÁLCULO!$AM$15:$AW$22,CRONO!U$12,CÁLCULO!$AB$15:$AL$22)/(ORÇAMENTO!$X$15-CÁLCULO.TotalAdmLocal)*CRONO!$F118,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SUMIF(CÁLCULO!$AM$15:$AW$22,CRONO!V$12,CÁLCULO!$AB$15:$AL$22)/(ORÇAMENTO!$X$15-CÁLCULO.TotalAdmLocal)*CRONO!$F118,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SUMIF(CÁLCULO!$AM$15:$AW$22,CRONO!W$12,CÁLCULO!$AB$15:$AL$22)/(ORÇAMENTO!$X$15-CÁLCULO.TotalAdmLocal)*CRONO!$F118,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SUMIF(CÁLCULO!$AM$15:$AW$22,CRONO!X$12,CÁLCULO!$AB$15:$AL$22)/(ORÇAMENTO!$X$15-CÁLCULO.TotalAdmLocal)*CRONO!$F118,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SUMIF(CÁLCULO!$AM$15:$AW$22,CRONO!Y$12,CÁLCULO!$AB$15:$AL$22)/(ORÇAMENTO!$X$15-CÁLCULO.TotalAdmLocal)*CRONO!$F118,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SUMIF(CÁLCULO!$AM$15:$AW$22,CRONO!Z$12,CÁLCULO!$AB$15:$AL$22)/(ORÇAMENTO!$X$15-CÁLCULO.TotalAdmLocal)*CRONO!$F118,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SUMIF(CÁLCULO!$AM$15:$AW$22,CRONO!AA$12,CÁLCULO!$AB$15:$AL$22)/(ORÇAMENTO!$X$15-CÁLCULO.TotalAdmLocal)*CRONO!$F118,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SUMIF(CÁLCULO!$AM$15:$AW$22,CRONO!AB$12,CÁLCULO!$AB$15:$AL$22)/(ORÇAMENTO!$X$15-CÁLCULO.TotalAdmLocal)*CRONO!$F118,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SUMIF(CÁLCULO!$AM$15:$AW$22,CRONO!AC$12,CÁLCULO!$AB$15:$AL$22)/(ORÇAMENTO!$X$15-CÁLCULO.TotalAdmLocal)*CRONO!$F118,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SUMIF(CÁLCULO!$AM$15:$AW$22,CRONO!AD$12,CÁLCULO!$AB$15:$AL$22)/(ORÇAMENTO!$X$15-CÁLCULO.TotalAdmLocal)*CRONO!$F118,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SUMIF(CÁLCULO!$AM$15:$AW$22,CRONO!AE$12,CÁLCULO!$AB$15:$AL$22)/(ORÇAMENTO!$X$15-CÁLCULO.TotalAdmLocal)*CRONO!$F118,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SUMIF(CÁLCULO!$AM$15:$AW$22,CRONO!AF$12,CÁLCULO!$AB$15:$AL$22)/(ORÇAMENTO!$X$15-CÁLCULO.TotalAdmLocal)*CRONO!$F118,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SUMIF(CÁLCULO!$AM$15:$AW$22,CRONO!E$12,CÁLCULO!$AB$15:$AL$22)/(ORÇAMENTO!$X$15-CÁLCULO.TotalAdmLocal)*CRONO!$F121,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SUMIF(CÁLCULO!$AM$15:$AW$22,CRONO!U$12,CÁLCULO!$AB$15:$AL$22)/(ORÇAMENTO!$X$15-CÁLCULO.TotalAdmLocal)*CRONO!$F121,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SUMIF(CÁLCULO!$AM$15:$AW$22,CRONO!V$12,CÁLCULO!$AB$15:$AL$22)/(ORÇAMENTO!$X$15-CÁLCULO.TotalAdmLocal)*CRONO!$F121,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SUMIF(CÁLCULO!$AM$15:$AW$22,CRONO!W$12,CÁLCULO!$AB$15:$AL$22)/(ORÇAMENTO!$X$15-CÁLCULO.TotalAdmLocal)*CRONO!$F121,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SUMIF(CÁLCULO!$AM$15:$AW$22,CRONO!X$12,CÁLCULO!$AB$15:$AL$22)/(ORÇAMENTO!$X$15-CÁLCULO.TotalAdmLocal)*CRONO!$F121,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SUMIF(CÁLCULO!$AM$15:$AW$22,CRONO!Y$12,CÁLCULO!$AB$15:$AL$22)/(ORÇAMENTO!$X$15-CÁLCULO.TotalAdmLocal)*CRONO!$F121,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SUMIF(CÁLCULO!$AM$15:$AW$22,CRONO!Z$12,CÁLCULO!$AB$15:$AL$22)/(ORÇAMENTO!$X$15-CÁLCULO.TotalAdmLocal)*CRONO!$F121,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SUMIF(CÁLCULO!$AM$15:$AW$22,CRONO!AA$12,CÁLCULO!$AB$15:$AL$22)/(ORÇAMENTO!$X$15-CÁLCULO.TotalAdmLocal)*CRONO!$F121,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SUMIF(CÁLCULO!$AM$15:$AW$22,CRONO!AB$12,CÁLCULO!$AB$15:$AL$22)/(ORÇAMENTO!$X$15-CÁLCULO.TotalAdmLocal)*CRONO!$F121,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SUMIF(CÁLCULO!$AM$15:$AW$22,CRONO!AC$12,CÁLCULO!$AB$15:$AL$22)/(ORÇAMENTO!$X$15-CÁLCULO.TotalAdmLocal)*CRONO!$F121,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SUMIF(CÁLCULO!$AM$15:$AW$22,CRONO!AD$12,CÁLCULO!$AB$15:$AL$22)/(ORÇAMENTO!$X$15-CÁLCULO.TotalAdmLocal)*CRONO!$F121,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SUMIF(CÁLCULO!$AM$15:$AW$22,CRONO!AE$12,CÁLCULO!$AB$15:$AL$22)/(ORÇAMENTO!$X$15-CÁLCULO.TotalAdmLocal)*CRONO!$F121,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SUMIF(CÁLCULO!$AM$15:$AW$22,CRONO!AF$12,CÁLCULO!$AB$15:$AL$22)/(ORÇAMENTO!$X$15-CÁLCULO.TotalAdmLocal)*CRONO!$F121,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SUMIF(CÁLCULO!$AM$15:$AW$22,CRONO!E$12,CÁLCULO!$AB$15:$AL$22)/(ORÇAMENTO!$X$15-CÁLCULO.TotalAdmLocal)*CRONO!$F124,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SUMIF(CÁLCULO!$AM$15:$AW$22,CRONO!U$12,CÁLCULO!$AB$15:$AL$22)/(ORÇAMENTO!$X$15-CÁLCULO.TotalAdmLocal)*CRONO!$F124,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SUMIF(CÁLCULO!$AM$15:$AW$22,CRONO!V$12,CÁLCULO!$AB$15:$AL$22)/(ORÇAMENTO!$X$15-CÁLCULO.TotalAdmLocal)*CRONO!$F124,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SUMIF(CÁLCULO!$AM$15:$AW$22,CRONO!W$12,CÁLCULO!$AB$15:$AL$22)/(ORÇAMENTO!$X$15-CÁLCULO.TotalAdmLocal)*CRONO!$F124,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SUMIF(CÁLCULO!$AM$15:$AW$22,CRONO!X$12,CÁLCULO!$AB$15:$AL$22)/(ORÇAMENTO!$X$15-CÁLCULO.TotalAdmLocal)*CRONO!$F124,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SUMIF(CÁLCULO!$AM$15:$AW$22,CRONO!Y$12,CÁLCULO!$AB$15:$AL$22)/(ORÇAMENTO!$X$15-CÁLCULO.TotalAdmLocal)*CRONO!$F124,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SUMIF(CÁLCULO!$AM$15:$AW$22,CRONO!Z$12,CÁLCULO!$AB$15:$AL$22)/(ORÇAMENTO!$X$15-CÁLCULO.TotalAdmLocal)*CRONO!$F124,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SUMIF(CÁLCULO!$AM$15:$AW$22,CRONO!AA$12,CÁLCULO!$AB$15:$AL$22)/(ORÇAMENTO!$X$15-CÁLCULO.TotalAdmLocal)*CRONO!$F124,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SUMIF(CÁLCULO!$AM$15:$AW$22,CRONO!AB$12,CÁLCULO!$AB$15:$AL$22)/(ORÇAMENTO!$X$15-CÁLCULO.TotalAdmLocal)*CRONO!$F124,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SUMIF(CÁLCULO!$AM$15:$AW$22,CRONO!AC$12,CÁLCULO!$AB$15:$AL$22)/(ORÇAMENTO!$X$15-CÁLCULO.TotalAdmLocal)*CRONO!$F124,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SUMIF(CÁLCULO!$AM$15:$AW$22,CRONO!AD$12,CÁLCULO!$AB$15:$AL$22)/(ORÇAMENTO!$X$15-CÁLCULO.TotalAdmLocal)*CRONO!$F124,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SUMIF(CÁLCULO!$AM$15:$AW$22,CRONO!AE$12,CÁLCULO!$AB$15:$AL$22)/(ORÇAMENTO!$X$15-CÁLCULO.TotalAdmLocal)*CRONO!$F124,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SUMIF(CÁLCULO!$AM$15:$AW$22,CRONO!AF$12,CÁLCULO!$AB$15:$AL$22)/(ORÇAMENTO!$X$15-CÁLCULO.TotalAdmLocal)*CRONO!$F124,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SUMIF(CÁLCULO!$AM$15:$AW$22,CRONO!E$12,CÁLCULO!$AB$15:$AL$22)/(ORÇAMENTO!$X$15-CÁLCULO.TotalAdmLocal)*CRONO!$F127,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SUMIF(CÁLCULO!$AM$15:$AW$22,CRONO!U$12,CÁLCULO!$AB$15:$AL$22)/(ORÇAMENTO!$X$15-CÁLCULO.TotalAdmLocal)*CRONO!$F127,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SUMIF(CÁLCULO!$AM$15:$AW$22,CRONO!V$12,CÁLCULO!$AB$15:$AL$22)/(ORÇAMENTO!$X$15-CÁLCULO.TotalAdmLocal)*CRONO!$F127,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SUMIF(CÁLCULO!$AM$15:$AW$22,CRONO!W$12,CÁLCULO!$AB$15:$AL$22)/(ORÇAMENTO!$X$15-CÁLCULO.TotalAdmLocal)*CRONO!$F127,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SUMIF(CÁLCULO!$AM$15:$AW$22,CRONO!X$12,CÁLCULO!$AB$15:$AL$22)/(ORÇAMENTO!$X$15-CÁLCULO.TotalAdmLocal)*CRONO!$F127,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SUMIF(CÁLCULO!$AM$15:$AW$22,CRONO!Y$12,CÁLCULO!$AB$15:$AL$22)/(ORÇAMENTO!$X$15-CÁLCULO.TotalAdmLocal)*CRONO!$F127,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SUMIF(CÁLCULO!$AM$15:$AW$22,CRONO!Z$12,CÁLCULO!$AB$15:$AL$22)/(ORÇAMENTO!$X$15-CÁLCULO.TotalAdmLocal)*CRONO!$F127,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SUMIF(CÁLCULO!$AM$15:$AW$22,CRONO!AA$12,CÁLCULO!$AB$15:$AL$22)/(ORÇAMENTO!$X$15-CÁLCULO.TotalAdmLocal)*CRONO!$F127,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SUMIF(CÁLCULO!$AM$15:$AW$22,CRONO!AB$12,CÁLCULO!$AB$15:$AL$22)/(ORÇAMENTO!$X$15-CÁLCULO.TotalAdmLocal)*CRONO!$F127,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SUMIF(CÁLCULO!$AM$15:$AW$22,CRONO!AC$12,CÁLCULO!$AB$15:$AL$22)/(ORÇAMENTO!$X$15-CÁLCULO.TotalAdmLocal)*CRONO!$F127,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SUMIF(CÁLCULO!$AM$15:$AW$22,CRONO!AD$12,CÁLCULO!$AB$15:$AL$22)/(ORÇAMENTO!$X$15-CÁLCULO.TotalAdmLocal)*CRONO!$F127,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SUMIF(CÁLCULO!$AM$15:$AW$22,CRONO!AE$12,CÁLCULO!$AB$15:$AL$22)/(ORÇAMENTO!$X$15-CÁLCULO.TotalAdmLocal)*CRONO!$F127,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SUMIF(CÁLCULO!$AM$15:$AW$22,CRONO!AF$12,CÁLCULO!$AB$15:$AL$22)/(ORÇAMENTO!$X$15-CÁLCULO.TotalAdmLocal)*CRONO!$F127,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SUMIF(CÁLCULO!$AM$15:$AW$22,CRONO!E$12,CÁLCULO!$AB$15:$AL$22)/(ORÇAMENTO!$X$15-CÁLCULO.TotalAdmLocal)*CRONO!$F130,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SUMIF(CÁLCULO!$AM$15:$AW$22,CRONO!U$12,CÁLCULO!$AB$15:$AL$22)/(ORÇAMENTO!$X$15-CÁLCULO.TotalAdmLocal)*CRONO!$F130,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SUMIF(CÁLCULO!$AM$15:$AW$22,CRONO!V$12,CÁLCULO!$AB$15:$AL$22)/(ORÇAMENTO!$X$15-CÁLCULO.TotalAdmLocal)*CRONO!$F130,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SUMIF(CÁLCULO!$AM$15:$AW$22,CRONO!W$12,CÁLCULO!$AB$15:$AL$22)/(ORÇAMENTO!$X$15-CÁLCULO.TotalAdmLocal)*CRONO!$F130,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SUMIF(CÁLCULO!$AM$15:$AW$22,CRONO!X$12,CÁLCULO!$AB$15:$AL$22)/(ORÇAMENTO!$X$15-CÁLCULO.TotalAdmLocal)*CRONO!$F130,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SUMIF(CÁLCULO!$AM$15:$AW$22,CRONO!Y$12,CÁLCULO!$AB$15:$AL$22)/(ORÇAMENTO!$X$15-CÁLCULO.TotalAdmLocal)*CRONO!$F130,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SUMIF(CÁLCULO!$AM$15:$AW$22,CRONO!Z$12,CÁLCULO!$AB$15:$AL$22)/(ORÇAMENTO!$X$15-CÁLCULO.TotalAdmLocal)*CRONO!$F130,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SUMIF(CÁLCULO!$AM$15:$AW$22,CRONO!AA$12,CÁLCULO!$AB$15:$AL$22)/(ORÇAMENTO!$X$15-CÁLCULO.TotalAdmLocal)*CRONO!$F130,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SUMIF(CÁLCULO!$AM$15:$AW$22,CRONO!AB$12,CÁLCULO!$AB$15:$AL$22)/(ORÇAMENTO!$X$15-CÁLCULO.TotalAdmLocal)*CRONO!$F130,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SUMIF(CÁLCULO!$AM$15:$AW$22,CRONO!AC$12,CÁLCULO!$AB$15:$AL$22)/(ORÇAMENTO!$X$15-CÁLCULO.TotalAdmLocal)*CRONO!$F130,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SUMIF(CÁLCULO!$AM$15:$AW$22,CRONO!AD$12,CÁLCULO!$AB$15:$AL$22)/(ORÇAMENTO!$X$15-CÁLCULO.TotalAdmLocal)*CRONO!$F130,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SUMIF(CÁLCULO!$AM$15:$AW$22,CRONO!AE$12,CÁLCULO!$AB$15:$AL$22)/(ORÇAMENTO!$X$15-CÁLCULO.TotalAdmLocal)*CRONO!$F130,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SUMIF(CÁLCULO!$AM$15:$AW$22,CRONO!AF$12,CÁLCULO!$AB$15:$AL$22)/(ORÇAMENTO!$X$15-CÁLCULO.TotalAdmLocal)*CRONO!$F130,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SUMIF(CÁLCULO!$AM$15:$AW$22,CRONO!E$12,CÁLCULO!$AB$15:$AL$22)/(ORÇAMENTO!$X$15-CÁLCULO.TotalAdmLocal)*CRONO!$F133,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SUMIF(CÁLCULO!$AM$15:$AW$22,CRONO!U$12,CÁLCULO!$AB$15:$AL$22)/(ORÇAMENTO!$X$15-CÁLCULO.TotalAdmLocal)*CRONO!$F133,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SUMIF(CÁLCULO!$AM$15:$AW$22,CRONO!V$12,CÁLCULO!$AB$15:$AL$22)/(ORÇAMENTO!$X$15-CÁLCULO.TotalAdmLocal)*CRONO!$F133,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SUMIF(CÁLCULO!$AM$15:$AW$22,CRONO!W$12,CÁLCULO!$AB$15:$AL$22)/(ORÇAMENTO!$X$15-CÁLCULO.TotalAdmLocal)*CRONO!$F133,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SUMIF(CÁLCULO!$AM$15:$AW$22,CRONO!X$12,CÁLCULO!$AB$15:$AL$22)/(ORÇAMENTO!$X$15-CÁLCULO.TotalAdmLocal)*CRONO!$F133,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SUMIF(CÁLCULO!$AM$15:$AW$22,CRONO!Y$12,CÁLCULO!$AB$15:$AL$22)/(ORÇAMENTO!$X$15-CÁLCULO.TotalAdmLocal)*CRONO!$F133,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SUMIF(CÁLCULO!$AM$15:$AW$22,CRONO!Z$12,CÁLCULO!$AB$15:$AL$22)/(ORÇAMENTO!$X$15-CÁLCULO.TotalAdmLocal)*CRONO!$F133,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SUMIF(CÁLCULO!$AM$15:$AW$22,CRONO!AA$12,CÁLCULO!$AB$15:$AL$22)/(ORÇAMENTO!$X$15-CÁLCULO.TotalAdmLocal)*CRONO!$F133,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SUMIF(CÁLCULO!$AM$15:$AW$22,CRONO!AB$12,CÁLCULO!$AB$15:$AL$22)/(ORÇAMENTO!$X$15-CÁLCULO.TotalAdmLocal)*CRONO!$F133,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SUMIF(CÁLCULO!$AM$15:$AW$22,CRONO!AC$12,CÁLCULO!$AB$15:$AL$22)/(ORÇAMENTO!$X$15-CÁLCULO.TotalAdmLocal)*CRONO!$F133,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SUMIF(CÁLCULO!$AM$15:$AW$22,CRONO!AD$12,CÁLCULO!$AB$15:$AL$22)/(ORÇAMENTO!$X$15-CÁLCULO.TotalAdmLocal)*CRONO!$F133,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SUMIF(CÁLCULO!$AM$15:$AW$22,CRONO!AE$12,CÁLCULO!$AB$15:$AL$22)/(ORÇAMENTO!$X$15-CÁLCULO.TotalAdmLocal)*CRONO!$F133,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SUMIF(CÁLCULO!$AM$15:$AW$22,CRONO!AF$12,CÁLCULO!$AB$15:$AL$22)/(ORÇAMENTO!$X$15-CÁLCULO.TotalAdmLocal)*CRONO!$F133,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SUMIF(CÁLCULO!$AM$15:$AW$22,CRONO!E$12,CÁLCULO!$AB$15:$AL$22)/(ORÇAMENTO!$X$15-CÁLCULO.TotalAdmLocal)*CRONO!$F136,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SUMIF(CÁLCULO!$AM$15:$AW$22,CRONO!U$12,CÁLCULO!$AB$15:$AL$22)/(ORÇAMENTO!$X$15-CÁLCULO.TotalAdmLocal)*CRONO!$F136,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SUMIF(CÁLCULO!$AM$15:$AW$22,CRONO!V$12,CÁLCULO!$AB$15:$AL$22)/(ORÇAMENTO!$X$15-CÁLCULO.TotalAdmLocal)*CRONO!$F136,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SUMIF(CÁLCULO!$AM$15:$AW$22,CRONO!W$12,CÁLCULO!$AB$15:$AL$22)/(ORÇAMENTO!$X$15-CÁLCULO.TotalAdmLocal)*CRONO!$F136,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SUMIF(CÁLCULO!$AM$15:$AW$22,CRONO!X$12,CÁLCULO!$AB$15:$AL$22)/(ORÇAMENTO!$X$15-CÁLCULO.TotalAdmLocal)*CRONO!$F136,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SUMIF(CÁLCULO!$AM$15:$AW$22,CRONO!Y$12,CÁLCULO!$AB$15:$AL$22)/(ORÇAMENTO!$X$15-CÁLCULO.TotalAdmLocal)*CRONO!$F136,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SUMIF(CÁLCULO!$AM$15:$AW$22,CRONO!Z$12,CÁLCULO!$AB$15:$AL$22)/(ORÇAMENTO!$X$15-CÁLCULO.TotalAdmLocal)*CRONO!$F136,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SUMIF(CÁLCULO!$AM$15:$AW$22,CRONO!AA$12,CÁLCULO!$AB$15:$AL$22)/(ORÇAMENTO!$X$15-CÁLCULO.TotalAdmLocal)*CRONO!$F136,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SUMIF(CÁLCULO!$AM$15:$AW$22,CRONO!AB$12,CÁLCULO!$AB$15:$AL$22)/(ORÇAMENTO!$X$15-CÁLCULO.TotalAdmLocal)*CRONO!$F136,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SUMIF(CÁLCULO!$AM$15:$AW$22,CRONO!AC$12,CÁLCULO!$AB$15:$AL$22)/(ORÇAMENTO!$X$15-CÁLCULO.TotalAdmLocal)*CRONO!$F136,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SUMIF(CÁLCULO!$AM$15:$AW$22,CRONO!AD$12,CÁLCULO!$AB$15:$AL$22)/(ORÇAMENTO!$X$15-CÁLCULO.TotalAdmLocal)*CRONO!$F136,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SUMIF(CÁLCULO!$AM$15:$AW$22,CRONO!AE$12,CÁLCULO!$AB$15:$AL$22)/(ORÇAMENTO!$X$15-CÁLCULO.TotalAdmLocal)*CRONO!$F136,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SUMIF(CÁLCULO!$AM$15:$AW$22,CRONO!AF$12,CÁLCULO!$AB$15:$AL$22)/(ORÇAMENTO!$X$15-CÁLCULO.TotalAdmLocal)*CRONO!$F136,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SUMIF(CÁLCULO!$AM$15:$AW$22,CRONO!E$12,CÁLCULO!$AB$15:$AL$22)/(ORÇAMENTO!$X$15-CÁLCULO.TotalAdmLocal)*CRONO!$F139,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SUMIF(CÁLCULO!$AM$15:$AW$22,CRONO!U$12,CÁLCULO!$AB$15:$AL$22)/(ORÇAMENTO!$X$15-CÁLCULO.TotalAdmLocal)*CRONO!$F139,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SUMIF(CÁLCULO!$AM$15:$AW$22,CRONO!V$12,CÁLCULO!$AB$15:$AL$22)/(ORÇAMENTO!$X$15-CÁLCULO.TotalAdmLocal)*CRONO!$F139,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SUMIF(CÁLCULO!$AM$15:$AW$22,CRONO!W$12,CÁLCULO!$AB$15:$AL$22)/(ORÇAMENTO!$X$15-CÁLCULO.TotalAdmLocal)*CRONO!$F139,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SUMIF(CÁLCULO!$AM$15:$AW$22,CRONO!X$12,CÁLCULO!$AB$15:$AL$22)/(ORÇAMENTO!$X$15-CÁLCULO.TotalAdmLocal)*CRONO!$F139,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SUMIF(CÁLCULO!$AM$15:$AW$22,CRONO!Y$12,CÁLCULO!$AB$15:$AL$22)/(ORÇAMENTO!$X$15-CÁLCULO.TotalAdmLocal)*CRONO!$F139,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SUMIF(CÁLCULO!$AM$15:$AW$22,CRONO!Z$12,CÁLCULO!$AB$15:$AL$22)/(ORÇAMENTO!$X$15-CÁLCULO.TotalAdmLocal)*CRONO!$F139,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SUMIF(CÁLCULO!$AM$15:$AW$22,CRONO!AA$12,CÁLCULO!$AB$15:$AL$22)/(ORÇAMENTO!$X$15-CÁLCULO.TotalAdmLocal)*CRONO!$F139,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SUMIF(CÁLCULO!$AM$15:$AW$22,CRONO!AB$12,CÁLCULO!$AB$15:$AL$22)/(ORÇAMENTO!$X$15-CÁLCULO.TotalAdmLocal)*CRONO!$F139,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SUMIF(CÁLCULO!$AM$15:$AW$22,CRONO!AC$12,CÁLCULO!$AB$15:$AL$22)/(ORÇAMENTO!$X$15-CÁLCULO.TotalAdmLocal)*CRONO!$F139,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SUMIF(CÁLCULO!$AM$15:$AW$22,CRONO!AD$12,CÁLCULO!$AB$15:$AL$22)/(ORÇAMENTO!$X$15-CÁLCULO.TotalAdmLocal)*CRONO!$F139,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SUMIF(CÁLCULO!$AM$15:$AW$22,CRONO!AE$12,CÁLCULO!$AB$15:$AL$22)/(ORÇAMENTO!$X$15-CÁLCULO.TotalAdmLocal)*CRONO!$F139,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SUMIF(CÁLCULO!$AM$15:$AW$22,CRONO!AF$12,CÁLCULO!$AB$15:$AL$22)/(ORÇAMENTO!$X$15-CÁLCULO.TotalAdmLocal)*CRONO!$F139,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SUMIF(CÁLCULO!$AM$15:$AW$22,CRONO!E$12,CÁLCULO!$AB$15:$AL$22)/(ORÇAMENTO!$X$15-CÁLCULO.TotalAdmLocal)*CRONO!$F142,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SUMIF(CÁLCULO!$AM$15:$AW$22,CRONO!U$12,CÁLCULO!$AB$15:$AL$22)/(ORÇAMENTO!$X$15-CÁLCULO.TotalAdmLocal)*CRONO!$F142,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SUMIF(CÁLCULO!$AM$15:$AW$22,CRONO!V$12,CÁLCULO!$AB$15:$AL$22)/(ORÇAMENTO!$X$15-CÁLCULO.TotalAdmLocal)*CRONO!$F142,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SUMIF(CÁLCULO!$AM$15:$AW$22,CRONO!W$12,CÁLCULO!$AB$15:$AL$22)/(ORÇAMENTO!$X$15-CÁLCULO.TotalAdmLocal)*CRONO!$F142,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SUMIF(CÁLCULO!$AM$15:$AW$22,CRONO!X$12,CÁLCULO!$AB$15:$AL$22)/(ORÇAMENTO!$X$15-CÁLCULO.TotalAdmLocal)*CRONO!$F142,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SUMIF(CÁLCULO!$AM$15:$AW$22,CRONO!Y$12,CÁLCULO!$AB$15:$AL$22)/(ORÇAMENTO!$X$15-CÁLCULO.TotalAdmLocal)*CRONO!$F142,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SUMIF(CÁLCULO!$AM$15:$AW$22,CRONO!Z$12,CÁLCULO!$AB$15:$AL$22)/(ORÇAMENTO!$X$15-CÁLCULO.TotalAdmLocal)*CRONO!$F142,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SUMIF(CÁLCULO!$AM$15:$AW$22,CRONO!AA$12,CÁLCULO!$AB$15:$AL$22)/(ORÇAMENTO!$X$15-CÁLCULO.TotalAdmLocal)*CRONO!$F142,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SUMIF(CÁLCULO!$AM$15:$AW$22,CRONO!AB$12,CÁLCULO!$AB$15:$AL$22)/(ORÇAMENTO!$X$15-CÁLCULO.TotalAdmLocal)*CRONO!$F142,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SUMIF(CÁLCULO!$AM$15:$AW$22,CRONO!AC$12,CÁLCULO!$AB$15:$AL$22)/(ORÇAMENTO!$X$15-CÁLCULO.TotalAdmLocal)*CRONO!$F142,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SUMIF(CÁLCULO!$AM$15:$AW$22,CRONO!AD$12,CÁLCULO!$AB$15:$AL$22)/(ORÇAMENTO!$X$15-CÁLCULO.TotalAdmLocal)*CRONO!$F142,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SUMIF(CÁLCULO!$AM$15:$AW$22,CRONO!AE$12,CÁLCULO!$AB$15:$AL$22)/(ORÇAMENTO!$X$15-CÁLCULO.TotalAdmLocal)*CRONO!$F142,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SUMIF(CÁLCULO!$AM$15:$AW$22,CRONO!AF$12,CÁLCULO!$AB$15:$AL$22)/(ORÇAMENTO!$X$15-CÁLCULO.TotalAdmLocal)*CRONO!$F142,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SUMIF(CÁLCULO!$AM$15:$AW$22,CRONO!E$12,CÁLCULO!$AB$15:$AL$22)/(ORÇAMENTO!$X$15-CÁLCULO.TotalAdmLocal)*CRONO!$F145,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SUMIF(CÁLCULO!$AM$15:$AW$22,CRONO!U$12,CÁLCULO!$AB$15:$AL$22)/(ORÇAMENTO!$X$15-CÁLCULO.TotalAdmLocal)*CRONO!$F145,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SUMIF(CÁLCULO!$AM$15:$AW$22,CRONO!V$12,CÁLCULO!$AB$15:$AL$22)/(ORÇAMENTO!$X$15-CÁLCULO.TotalAdmLocal)*CRONO!$F145,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SUMIF(CÁLCULO!$AM$15:$AW$22,CRONO!W$12,CÁLCULO!$AB$15:$AL$22)/(ORÇAMENTO!$X$15-CÁLCULO.TotalAdmLocal)*CRONO!$F145,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SUMIF(CÁLCULO!$AM$15:$AW$22,CRONO!X$12,CÁLCULO!$AB$15:$AL$22)/(ORÇAMENTO!$X$15-CÁLCULO.TotalAdmLocal)*CRONO!$F145,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SUMIF(CÁLCULO!$AM$15:$AW$22,CRONO!Y$12,CÁLCULO!$AB$15:$AL$22)/(ORÇAMENTO!$X$15-CÁLCULO.TotalAdmLocal)*CRONO!$F145,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SUMIF(CÁLCULO!$AM$15:$AW$22,CRONO!Z$12,CÁLCULO!$AB$15:$AL$22)/(ORÇAMENTO!$X$15-CÁLCULO.TotalAdmLocal)*CRONO!$F145,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SUMIF(CÁLCULO!$AM$15:$AW$22,CRONO!AA$12,CÁLCULO!$AB$15:$AL$22)/(ORÇAMENTO!$X$15-CÁLCULO.TotalAdmLocal)*CRONO!$F145,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SUMIF(CÁLCULO!$AM$15:$AW$22,CRONO!AB$12,CÁLCULO!$AB$15:$AL$22)/(ORÇAMENTO!$X$15-CÁLCULO.TotalAdmLocal)*CRONO!$F145,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SUMIF(CÁLCULO!$AM$15:$AW$22,CRONO!AC$12,CÁLCULO!$AB$15:$AL$22)/(ORÇAMENTO!$X$15-CÁLCULO.TotalAdmLocal)*CRONO!$F145,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SUMIF(CÁLCULO!$AM$15:$AW$22,CRONO!AD$12,CÁLCULO!$AB$15:$AL$22)/(ORÇAMENTO!$X$15-CÁLCULO.TotalAdmLocal)*CRONO!$F145,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SUMIF(CÁLCULO!$AM$15:$AW$22,CRONO!AE$12,CÁLCULO!$AB$15:$AL$22)/(ORÇAMENTO!$X$15-CÁLCULO.TotalAdmLocal)*CRONO!$F145,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SUMIF(CÁLCULO!$AM$15:$AW$22,CRONO!AF$12,CÁLCULO!$AB$15:$AL$22)/(ORÇAMENTO!$X$15-CÁLCULO.TotalAdmLocal)*CRONO!$F145,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SUMIF(CÁLCULO!$AM$15:$AW$22,CRONO!E$12,CÁLCULO!$AB$15:$AL$22)/(ORÇAMENTO!$X$15-CÁLCULO.TotalAdmLocal)*CRONO!$F148,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SUMIF(CÁLCULO!$AM$15:$AW$22,CRONO!U$12,CÁLCULO!$AB$15:$AL$22)/(ORÇAMENTO!$X$15-CÁLCULO.TotalAdmLocal)*CRONO!$F148,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SUMIF(CÁLCULO!$AM$15:$AW$22,CRONO!V$12,CÁLCULO!$AB$15:$AL$22)/(ORÇAMENTO!$X$15-CÁLCULO.TotalAdmLocal)*CRONO!$F148,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SUMIF(CÁLCULO!$AM$15:$AW$22,CRONO!W$12,CÁLCULO!$AB$15:$AL$22)/(ORÇAMENTO!$X$15-CÁLCULO.TotalAdmLocal)*CRONO!$F148,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SUMIF(CÁLCULO!$AM$15:$AW$22,CRONO!X$12,CÁLCULO!$AB$15:$AL$22)/(ORÇAMENTO!$X$15-CÁLCULO.TotalAdmLocal)*CRONO!$F148,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SUMIF(CÁLCULO!$AM$15:$AW$22,CRONO!Y$12,CÁLCULO!$AB$15:$AL$22)/(ORÇAMENTO!$X$15-CÁLCULO.TotalAdmLocal)*CRONO!$F148,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SUMIF(CÁLCULO!$AM$15:$AW$22,CRONO!Z$12,CÁLCULO!$AB$15:$AL$22)/(ORÇAMENTO!$X$15-CÁLCULO.TotalAdmLocal)*CRONO!$F148,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SUMIF(CÁLCULO!$AM$15:$AW$22,CRONO!AA$12,CÁLCULO!$AB$15:$AL$22)/(ORÇAMENTO!$X$15-CÁLCULO.TotalAdmLocal)*CRONO!$F148,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SUMIF(CÁLCULO!$AM$15:$AW$22,CRONO!AB$12,CÁLCULO!$AB$15:$AL$22)/(ORÇAMENTO!$X$15-CÁLCULO.TotalAdmLocal)*CRONO!$F148,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SUMIF(CÁLCULO!$AM$15:$AW$22,CRONO!AC$12,CÁLCULO!$AB$15:$AL$22)/(ORÇAMENTO!$X$15-CÁLCULO.TotalAdmLocal)*CRONO!$F148,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SUMIF(CÁLCULO!$AM$15:$AW$22,CRONO!AD$12,CÁLCULO!$AB$15:$AL$22)/(ORÇAMENTO!$X$15-CÁLCULO.TotalAdmLocal)*CRONO!$F148,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SUMIF(CÁLCULO!$AM$15:$AW$22,CRONO!AE$12,CÁLCULO!$AB$15:$AL$22)/(ORÇAMENTO!$X$15-CÁLCULO.TotalAdmLocal)*CRONO!$F148,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SUMIF(CÁLCULO!$AM$15:$AW$22,CRONO!AF$12,CÁLCULO!$AB$15:$AL$22)/(ORÇAMENTO!$X$15-CÁLCULO.TotalAdmLocal)*CRONO!$F148,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SUMIF(CÁLCULO!$AM$15:$AW$22,CRONO!E$12,CÁLCULO!$AB$15:$AL$22)/(ORÇAMENTO!$X$15-CÁLCULO.TotalAdmLocal)*CRONO!$F151,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SUMIF(CÁLCULO!$AM$15:$AW$22,CRONO!U$12,CÁLCULO!$AB$15:$AL$22)/(ORÇAMENTO!$X$15-CÁLCULO.TotalAdmLocal)*CRONO!$F151,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SUMIF(CÁLCULO!$AM$15:$AW$22,CRONO!V$12,CÁLCULO!$AB$15:$AL$22)/(ORÇAMENTO!$X$15-CÁLCULO.TotalAdmLocal)*CRONO!$F151,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SUMIF(CÁLCULO!$AM$15:$AW$22,CRONO!W$12,CÁLCULO!$AB$15:$AL$22)/(ORÇAMENTO!$X$15-CÁLCULO.TotalAdmLocal)*CRONO!$F151,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SUMIF(CÁLCULO!$AM$15:$AW$22,CRONO!X$12,CÁLCULO!$AB$15:$AL$22)/(ORÇAMENTO!$X$15-CÁLCULO.TotalAdmLocal)*CRONO!$F151,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SUMIF(CÁLCULO!$AM$15:$AW$22,CRONO!Y$12,CÁLCULO!$AB$15:$AL$22)/(ORÇAMENTO!$X$15-CÁLCULO.TotalAdmLocal)*CRONO!$F151,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SUMIF(CÁLCULO!$AM$15:$AW$22,CRONO!Z$12,CÁLCULO!$AB$15:$AL$22)/(ORÇAMENTO!$X$15-CÁLCULO.TotalAdmLocal)*CRONO!$F151,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SUMIF(CÁLCULO!$AM$15:$AW$22,CRONO!AA$12,CÁLCULO!$AB$15:$AL$22)/(ORÇAMENTO!$X$15-CÁLCULO.TotalAdmLocal)*CRONO!$F151,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SUMIF(CÁLCULO!$AM$15:$AW$22,CRONO!AB$12,CÁLCULO!$AB$15:$AL$22)/(ORÇAMENTO!$X$15-CÁLCULO.TotalAdmLocal)*CRONO!$F151,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SUMIF(CÁLCULO!$AM$15:$AW$22,CRONO!AC$12,CÁLCULO!$AB$15:$AL$22)/(ORÇAMENTO!$X$15-CÁLCULO.TotalAdmLocal)*CRONO!$F151,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SUMIF(CÁLCULO!$AM$15:$AW$22,CRONO!AD$12,CÁLCULO!$AB$15:$AL$22)/(ORÇAMENTO!$X$15-CÁLCULO.TotalAdmLocal)*CRONO!$F151,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SUMIF(CÁLCULO!$AM$15:$AW$22,CRONO!AE$12,CÁLCULO!$AB$15:$AL$22)/(ORÇAMENTO!$X$15-CÁLCULO.TotalAdmLocal)*CRONO!$F151,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SUMIF(CÁLCULO!$AM$15:$AW$22,CRONO!AF$12,CÁLCULO!$AB$15:$AL$22)/(ORÇAMENTO!$X$15-CÁLCULO.TotalAdmLocal)*CRONO!$F151,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SUMIF(CÁLCULO!$AM$15:$AW$22,CRONO!E$12,CÁLCULO!$AB$15:$AL$22)/(ORÇAMENTO!$X$15-CÁLCULO.TotalAdmLocal)*CRONO!$F154,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SUMIF(CÁLCULO!$AM$15:$AW$22,CRONO!U$12,CÁLCULO!$AB$15:$AL$22)/(ORÇAMENTO!$X$15-CÁLCULO.TotalAdmLocal)*CRONO!$F154,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SUMIF(CÁLCULO!$AM$15:$AW$22,CRONO!V$12,CÁLCULO!$AB$15:$AL$22)/(ORÇAMENTO!$X$15-CÁLCULO.TotalAdmLocal)*CRONO!$F154,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SUMIF(CÁLCULO!$AM$15:$AW$22,CRONO!W$12,CÁLCULO!$AB$15:$AL$22)/(ORÇAMENTO!$X$15-CÁLCULO.TotalAdmLocal)*CRONO!$F154,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SUMIF(CÁLCULO!$AM$15:$AW$22,CRONO!X$12,CÁLCULO!$AB$15:$AL$22)/(ORÇAMENTO!$X$15-CÁLCULO.TotalAdmLocal)*CRONO!$F154,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SUMIF(CÁLCULO!$AM$15:$AW$22,CRONO!Y$12,CÁLCULO!$AB$15:$AL$22)/(ORÇAMENTO!$X$15-CÁLCULO.TotalAdmLocal)*CRONO!$F154,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SUMIF(CÁLCULO!$AM$15:$AW$22,CRONO!Z$12,CÁLCULO!$AB$15:$AL$22)/(ORÇAMENTO!$X$15-CÁLCULO.TotalAdmLocal)*CRONO!$F154,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SUMIF(CÁLCULO!$AM$15:$AW$22,CRONO!AA$12,CÁLCULO!$AB$15:$AL$22)/(ORÇAMENTO!$X$15-CÁLCULO.TotalAdmLocal)*CRONO!$F154,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SUMIF(CÁLCULO!$AM$15:$AW$22,CRONO!AB$12,CÁLCULO!$AB$15:$AL$22)/(ORÇAMENTO!$X$15-CÁLCULO.TotalAdmLocal)*CRONO!$F154,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SUMIF(CÁLCULO!$AM$15:$AW$22,CRONO!AC$12,CÁLCULO!$AB$15:$AL$22)/(ORÇAMENTO!$X$15-CÁLCULO.TotalAdmLocal)*CRONO!$F154,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SUMIF(CÁLCULO!$AM$15:$AW$22,CRONO!AD$12,CÁLCULO!$AB$15:$AL$22)/(ORÇAMENTO!$X$15-CÁLCULO.TotalAdmLocal)*CRONO!$F154,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SUMIF(CÁLCULO!$AM$15:$AW$22,CRONO!AE$12,CÁLCULO!$AB$15:$AL$22)/(ORÇAMENTO!$X$15-CÁLCULO.TotalAdmLocal)*CRONO!$F154,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SUMIF(CÁLCULO!$AM$15:$AW$22,CRONO!AF$12,CÁLCULO!$AB$15:$AL$22)/(ORÇAMENTO!$X$15-CÁLCULO.TotalAdmLocal)*CRONO!$F154,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SUMIF(CÁLCULO!$AM$15:$AW$22,CRONO!E$12,CÁLCULO!$AB$15:$AL$22)/(ORÇAMENTO!$X$15-CÁLCULO.TotalAdmLocal)*CRONO!$F157,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SUMIF(CÁLCULO!$AM$15:$AW$22,CRONO!U$12,CÁLCULO!$AB$15:$AL$22)/(ORÇAMENTO!$X$15-CÁLCULO.TotalAdmLocal)*CRONO!$F157,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SUMIF(CÁLCULO!$AM$15:$AW$22,CRONO!V$12,CÁLCULO!$AB$15:$AL$22)/(ORÇAMENTO!$X$15-CÁLCULO.TotalAdmLocal)*CRONO!$F157,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SUMIF(CÁLCULO!$AM$15:$AW$22,CRONO!W$12,CÁLCULO!$AB$15:$AL$22)/(ORÇAMENTO!$X$15-CÁLCULO.TotalAdmLocal)*CRONO!$F157,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SUMIF(CÁLCULO!$AM$15:$AW$22,CRONO!X$12,CÁLCULO!$AB$15:$AL$22)/(ORÇAMENTO!$X$15-CÁLCULO.TotalAdmLocal)*CRONO!$F157,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SUMIF(CÁLCULO!$AM$15:$AW$22,CRONO!Y$12,CÁLCULO!$AB$15:$AL$22)/(ORÇAMENTO!$X$15-CÁLCULO.TotalAdmLocal)*CRONO!$F157,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SUMIF(CÁLCULO!$AM$15:$AW$22,CRONO!Z$12,CÁLCULO!$AB$15:$AL$22)/(ORÇAMENTO!$X$15-CÁLCULO.TotalAdmLocal)*CRONO!$F157,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SUMIF(CÁLCULO!$AM$15:$AW$22,CRONO!AA$12,CÁLCULO!$AB$15:$AL$22)/(ORÇAMENTO!$X$15-CÁLCULO.TotalAdmLocal)*CRONO!$F157,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SUMIF(CÁLCULO!$AM$15:$AW$22,CRONO!AB$12,CÁLCULO!$AB$15:$AL$22)/(ORÇAMENTO!$X$15-CÁLCULO.TotalAdmLocal)*CRONO!$F157,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SUMIF(CÁLCULO!$AM$15:$AW$22,CRONO!AC$12,CÁLCULO!$AB$15:$AL$22)/(ORÇAMENTO!$X$15-CÁLCULO.TotalAdmLocal)*CRONO!$F157,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SUMIF(CÁLCULO!$AM$15:$AW$22,CRONO!AD$12,CÁLCULO!$AB$15:$AL$22)/(ORÇAMENTO!$X$15-CÁLCULO.TotalAdmLocal)*CRONO!$F157,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SUMIF(CÁLCULO!$AM$15:$AW$22,CRONO!AE$12,CÁLCULO!$AB$15:$AL$22)/(ORÇAMENTO!$X$15-CÁLCULO.TotalAdmLocal)*CRONO!$F157,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SUMIF(CÁLCULO!$AM$15:$AW$22,CRONO!AF$12,CÁLCULO!$AB$15:$AL$22)/(ORÇAMENTO!$X$15-CÁLCULO.TotalAdmLocal)*CRONO!$F157,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SUMIF(CÁLCULO!$AM$15:$AW$22,CRONO!E$12,CÁLCULO!$AB$15:$AL$22)/(ORÇAMENTO!$X$15-CÁLCULO.TotalAdmLocal)*CRONO!$F160,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SUMIF(CÁLCULO!$AM$15:$AW$22,CRONO!U$12,CÁLCULO!$AB$15:$AL$22)/(ORÇAMENTO!$X$15-CÁLCULO.TotalAdmLocal)*CRONO!$F160,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SUMIF(CÁLCULO!$AM$15:$AW$22,CRONO!V$12,CÁLCULO!$AB$15:$AL$22)/(ORÇAMENTO!$X$15-CÁLCULO.TotalAdmLocal)*CRONO!$F160,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SUMIF(CÁLCULO!$AM$15:$AW$22,CRONO!W$12,CÁLCULO!$AB$15:$AL$22)/(ORÇAMENTO!$X$15-CÁLCULO.TotalAdmLocal)*CRONO!$F160,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SUMIF(CÁLCULO!$AM$15:$AW$22,CRONO!X$12,CÁLCULO!$AB$15:$AL$22)/(ORÇAMENTO!$X$15-CÁLCULO.TotalAdmLocal)*CRONO!$F160,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SUMIF(CÁLCULO!$AM$15:$AW$22,CRONO!Y$12,CÁLCULO!$AB$15:$AL$22)/(ORÇAMENTO!$X$15-CÁLCULO.TotalAdmLocal)*CRONO!$F160,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SUMIF(CÁLCULO!$AM$15:$AW$22,CRONO!Z$12,CÁLCULO!$AB$15:$AL$22)/(ORÇAMENTO!$X$15-CÁLCULO.TotalAdmLocal)*CRONO!$F160,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SUMIF(CÁLCULO!$AM$15:$AW$22,CRONO!AA$12,CÁLCULO!$AB$15:$AL$22)/(ORÇAMENTO!$X$15-CÁLCULO.TotalAdmLocal)*CRONO!$F160,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SUMIF(CÁLCULO!$AM$15:$AW$22,CRONO!AB$12,CÁLCULO!$AB$15:$AL$22)/(ORÇAMENTO!$X$15-CÁLCULO.TotalAdmLocal)*CRONO!$F160,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SUMIF(CÁLCULO!$AM$15:$AW$22,CRONO!AC$12,CÁLCULO!$AB$15:$AL$22)/(ORÇAMENTO!$X$15-CÁLCULO.TotalAdmLocal)*CRONO!$F160,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SUMIF(CÁLCULO!$AM$15:$AW$22,CRONO!AD$12,CÁLCULO!$AB$15:$AL$22)/(ORÇAMENTO!$X$15-CÁLCULO.TotalAdmLocal)*CRONO!$F160,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SUMIF(CÁLCULO!$AM$15:$AW$22,CRONO!AE$12,CÁLCULO!$AB$15:$AL$22)/(ORÇAMENTO!$X$15-CÁLCULO.TotalAdmLocal)*CRONO!$F160,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SUMIF(CÁLCULO!$AM$15:$AW$22,CRONO!AF$12,CÁLCULO!$AB$15:$AL$22)/(ORÇAMENTO!$X$15-CÁLCULO.TotalAdmLocal)*CRONO!$F160,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SUMIF(CÁLCULO!$AM$15:$AW$22,CRONO!E$12,CÁLCULO!$AB$15:$AL$22)/(ORÇAMENTO!$X$15-CÁLCULO.TotalAdmLocal)*CRONO!$F163,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SUMIF(CÁLCULO!$AM$15:$AW$22,CRONO!U$12,CÁLCULO!$AB$15:$AL$22)/(ORÇAMENTO!$X$15-CÁLCULO.TotalAdmLocal)*CRONO!$F163,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SUMIF(CÁLCULO!$AM$15:$AW$22,CRONO!V$12,CÁLCULO!$AB$15:$AL$22)/(ORÇAMENTO!$X$15-CÁLCULO.TotalAdmLocal)*CRONO!$F163,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SUMIF(CÁLCULO!$AM$15:$AW$22,CRONO!W$12,CÁLCULO!$AB$15:$AL$22)/(ORÇAMENTO!$X$15-CÁLCULO.TotalAdmLocal)*CRONO!$F163,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SUMIF(CÁLCULO!$AM$15:$AW$22,CRONO!X$12,CÁLCULO!$AB$15:$AL$22)/(ORÇAMENTO!$X$15-CÁLCULO.TotalAdmLocal)*CRONO!$F163,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SUMIF(CÁLCULO!$AM$15:$AW$22,CRONO!Y$12,CÁLCULO!$AB$15:$AL$22)/(ORÇAMENTO!$X$15-CÁLCULO.TotalAdmLocal)*CRONO!$F163,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SUMIF(CÁLCULO!$AM$15:$AW$22,CRONO!Z$12,CÁLCULO!$AB$15:$AL$22)/(ORÇAMENTO!$X$15-CÁLCULO.TotalAdmLocal)*CRONO!$F163,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SUMIF(CÁLCULO!$AM$15:$AW$22,CRONO!AA$12,CÁLCULO!$AB$15:$AL$22)/(ORÇAMENTO!$X$15-CÁLCULO.TotalAdmLocal)*CRONO!$F163,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SUMIF(CÁLCULO!$AM$15:$AW$22,CRONO!AB$12,CÁLCULO!$AB$15:$AL$22)/(ORÇAMENTO!$X$15-CÁLCULO.TotalAdmLocal)*CRONO!$F163,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SUMIF(CÁLCULO!$AM$15:$AW$22,CRONO!AC$12,CÁLCULO!$AB$15:$AL$22)/(ORÇAMENTO!$X$15-CÁLCULO.TotalAdmLocal)*CRONO!$F163,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SUMIF(CÁLCULO!$AM$15:$AW$22,CRONO!AD$12,CÁLCULO!$AB$15:$AL$22)/(ORÇAMENTO!$X$15-CÁLCULO.TotalAdmLocal)*CRONO!$F163,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SUMIF(CÁLCULO!$AM$15:$AW$22,CRONO!AE$12,CÁLCULO!$AB$15:$AL$22)/(ORÇAMENTO!$X$15-CÁLCULO.TotalAdmLocal)*CRONO!$F163,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SUMIF(CÁLCULO!$AM$15:$AW$22,CRONO!AF$12,CÁLCULO!$AB$15:$AL$22)/(ORÇAMENTO!$X$15-CÁLCULO.TotalAdmLocal)*CRONO!$F163,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f ca="1">E169/$R$165</f>
        <v>0.5</v>
      </c>
      <c r="G165" s="185" t="s">
        <v>536</v>
      </c>
      <c r="I165" s="775" t="str">
        <f ca="1">"Total:    R$ "&amp;TEXT(R165,"#.##0,00")</f>
        <v>Total:    R$ 131.840,62</v>
      </c>
      <c r="J165" s="775"/>
      <c r="K165" s="775"/>
      <c r="L165" s="227"/>
      <c r="R165" s="228">
        <f ca="1">SUMIF(M12:M164,1,S12:S164)</f>
        <v>131840.62</v>
      </c>
      <c r="S165" s="229"/>
      <c r="T165" s="230" t="s">
        <v>798</v>
      </c>
      <c r="U165" s="528">
        <f t="shared" ref="U165:AF165" ca="1" si="310">ROUND(U169,2)/$R$165</f>
        <v>0.5</v>
      </c>
      <c r="V165" s="528">
        <f t="shared" ca="1" si="310"/>
        <v>0.5</v>
      </c>
      <c r="W165" s="528">
        <f t="shared" ca="1" si="310"/>
        <v>0</v>
      </c>
      <c r="X165" s="528">
        <f t="shared" ca="1" si="310"/>
        <v>0</v>
      </c>
      <c r="Y165" s="528">
        <f t="shared" ca="1" si="310"/>
        <v>0</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
      <c r="E166" s="231">
        <f ca="1">IF(E$12=1,ROUND(E171,2),ROUND(E171,2)-ROUND(D171,2))</f>
        <v>0</v>
      </c>
      <c r="G166" s="185" t="s">
        <v>536</v>
      </c>
      <c r="I166" s="775"/>
      <c r="J166" s="775"/>
      <c r="K166" s="775"/>
      <c r="L166" s="232"/>
      <c r="R166" s="228"/>
      <c r="S166" s="233"/>
      <c r="T166" s="234" t="str">
        <f>IF(import.recurso="FGTS","Financiamento:","Repasse:")</f>
        <v>Repasse:</v>
      </c>
      <c r="U166" s="231">
        <f t="shared" ref="U166:AF166" ca="1" si="311">IF(U$12=1,ROUND(U171,2),ROUND(U171,2)-ROUND(T171,2))</f>
        <v>0</v>
      </c>
      <c r="V166" s="231">
        <f t="shared" ca="1" si="311"/>
        <v>0</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65920.31</v>
      </c>
      <c r="G167" s="185" t="s">
        <v>536</v>
      </c>
      <c r="I167" s="235"/>
      <c r="L167" s="236" t="s">
        <v>799</v>
      </c>
      <c r="R167" s="228"/>
      <c r="S167" s="237"/>
      <c r="T167" s="238" t="s">
        <v>800</v>
      </c>
      <c r="U167" s="529">
        <f t="shared" ref="U167:AF167" ca="1" si="312">IF(U$12=1,ROUND(U172,2),ROUND(U172,2)-ROUND(T172,2))</f>
        <v>65920.31</v>
      </c>
      <c r="V167" s="529">
        <f t="shared" ca="1" si="312"/>
        <v>65920.31</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65920.31</v>
      </c>
      <c r="G169" s="185" t="s">
        <v>536</v>
      </c>
      <c r="H169" s="536"/>
      <c r="L169" s="242"/>
      <c r="S169" s="243"/>
      <c r="T169" s="244" t="s">
        <v>802</v>
      </c>
      <c r="U169" s="530">
        <f t="shared" ref="U169:AF169" ca="1" si="314">IF(U$12=1,ROUND(U174,2),ROUND(U174,2)-ROUND(T174,2))</f>
        <v>65920.31</v>
      </c>
      <c r="V169" s="530">
        <f t="shared" ca="1" si="314"/>
        <v>65920.31</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f ca="1">ROUND(ROUND(E174,2)/$R$165,4)</f>
        <v>0.5</v>
      </c>
      <c r="G170" s="185" t="s">
        <v>536</v>
      </c>
      <c r="L170" s="227"/>
      <c r="S170" s="229"/>
      <c r="T170" s="230" t="s">
        <v>798</v>
      </c>
      <c r="U170" s="528">
        <f t="shared" ref="U170:AF170" ca="1" si="315">ROUND(ROUND(U174,2)/$R$165,4)</f>
        <v>0.5</v>
      </c>
      <c r="V170" s="528">
        <f t="shared" ca="1" si="315"/>
        <v>1</v>
      </c>
      <c r="W170" s="528">
        <f t="shared" ca="1" si="315"/>
        <v>1</v>
      </c>
      <c r="X170" s="528">
        <f t="shared" ca="1" si="315"/>
        <v>1</v>
      </c>
      <c r="Y170" s="528">
        <f t="shared" ca="1" si="315"/>
        <v>1</v>
      </c>
      <c r="Z170" s="528">
        <f t="shared" ca="1" si="315"/>
        <v>1</v>
      </c>
      <c r="AA170" s="528">
        <f t="shared" ca="1" si="315"/>
        <v>1</v>
      </c>
      <c r="AB170" s="528">
        <f t="shared" ca="1" si="315"/>
        <v>1</v>
      </c>
      <c r="AC170" s="528">
        <f t="shared" ca="1" si="315"/>
        <v>1</v>
      </c>
      <c r="AD170" s="528">
        <f t="shared" ca="1" si="315"/>
        <v>1</v>
      </c>
      <c r="AE170" s="528">
        <f t="shared" ca="1" si="315"/>
        <v>1</v>
      </c>
      <c r="AF170" s="528">
        <f t="shared" ca="1" si="315"/>
        <v>1</v>
      </c>
      <c r="AG170" s="534"/>
    </row>
    <row r="171" spans="1:33" x14ac:dyDescent="0.2">
      <c r="E171" s="231">
        <f ca="1">ROUND(E174-E173-E172,2)</f>
        <v>0</v>
      </c>
      <c r="G171" s="185" t="s">
        <v>536</v>
      </c>
      <c r="L171" s="232"/>
      <c r="S171" s="233"/>
      <c r="T171" s="234" t="str">
        <f>IF(import.recurso="FGTS","Financiamento:","Repasse:")</f>
        <v>Repasse:</v>
      </c>
      <c r="U171" s="231">
        <f t="shared" ref="U171:AF171" ca="1" si="316">ROUND(U174-U173-U172,2)</f>
        <v>0</v>
      </c>
      <c r="V171" s="231">
        <f t="shared" ca="1" si="316"/>
        <v>0</v>
      </c>
      <c r="W171" s="231">
        <f t="shared" ca="1" si="316"/>
        <v>0</v>
      </c>
      <c r="X171" s="231">
        <f t="shared" ca="1" si="316"/>
        <v>0</v>
      </c>
      <c r="Y171" s="231">
        <f t="shared" ca="1" si="316"/>
        <v>0</v>
      </c>
      <c r="Z171" s="231">
        <f t="shared" ca="1" si="316"/>
        <v>0</v>
      </c>
      <c r="AA171" s="231">
        <f t="shared" ca="1" si="316"/>
        <v>0</v>
      </c>
      <c r="AB171" s="231">
        <f t="shared" ca="1" si="316"/>
        <v>0</v>
      </c>
      <c r="AC171" s="231">
        <f t="shared" ca="1" si="316"/>
        <v>0</v>
      </c>
      <c r="AD171" s="231">
        <f t="shared" ca="1" si="316"/>
        <v>0</v>
      </c>
      <c r="AE171" s="231">
        <f t="shared" ca="1" si="316"/>
        <v>0</v>
      </c>
      <c r="AF171" s="231">
        <f t="shared" ca="1" si="316"/>
        <v>0</v>
      </c>
      <c r="AG171" s="534"/>
    </row>
    <row r="172" spans="1:33" x14ac:dyDescent="0.2">
      <c r="E172" s="529" cm="1">
        <f t="array" aca="1" ref="E172" ca="1">IF(E$12=1,0,OFFSET(E172,0,-1))+SUM((OFFSET($C$13,1,0):OFFSET($C$164,-3,0))*IF(ISNUMBER(OFFSET(E$11,5,0):OFFSET(E$164,-1,0)),OFFSET(E$11,5,0):OFFSET(E$164,-1,0),0))</f>
        <v>65920.31</v>
      </c>
      <c r="G172" s="185" t="s">
        <v>536</v>
      </c>
      <c r="L172" s="236" t="s">
        <v>803</v>
      </c>
      <c r="S172" s="237"/>
      <c r="T172" s="238" t="s">
        <v>800</v>
      </c>
      <c r="U172" s="529" cm="1">
        <f t="array" aca="1" ref="U172" ca="1">IF(U$12=1,0,OFFSET(U172,0,-1))+SUM((OFFSET($C$13,1,0):OFFSET($C$164,-3,0))*IF(ISNUMBER(OFFSET(U$11,5,0):OFFSET(U$164,-1,0)),OFFSET(U$11,5,0):OFFSET(U$164,-1,0),0))</f>
        <v>65920.31</v>
      </c>
      <c r="V172" s="529" cm="1">
        <f t="array" aca="1" ref="V172" ca="1">IF(V$12=1,0,OFFSET(V172,0,-1))+SUM((OFFSET($C$13,1,0):OFFSET($C$164,-3,0))*IF(ISNUMBER(OFFSET(V$11,5,0):OFFSET(V$164,-1,0)),OFFSET(V$11,5,0):OFFSET(V$164,-1,0),0))</f>
        <v>131840.62</v>
      </c>
      <c r="W172" s="529" cm="1">
        <f t="array" aca="1" ref="W172" ca="1">IF(W$12=1,0,OFFSET(W172,0,-1))+SUM((OFFSET($C$13,1,0):OFFSET($C$164,-3,0))*IF(ISNUMBER(OFFSET(W$11,5,0):OFFSET(W$164,-1,0)),OFFSET(W$11,5,0):OFFSET(W$164,-1,0),0))</f>
        <v>131840.62</v>
      </c>
      <c r="X172" s="529" cm="1">
        <f t="array" aca="1" ref="X172" ca="1">IF(X$12=1,0,OFFSET(X172,0,-1))+SUM((OFFSET($C$13,1,0):OFFSET($C$164,-3,0))*IF(ISNUMBER(OFFSET(X$11,5,0):OFFSET(X$164,-1,0)),OFFSET(X$11,5,0):OFFSET(X$164,-1,0),0))</f>
        <v>131840.62</v>
      </c>
      <c r="Y172" s="529" cm="1">
        <f t="array" aca="1" ref="Y172" ca="1">IF(Y$12=1,0,OFFSET(Y172,0,-1))+SUM((OFFSET($C$13,1,0):OFFSET($C$164,-3,0))*IF(ISNUMBER(OFFSET(Y$11,5,0):OFFSET(Y$164,-1,0)),OFFSET(Y$11,5,0):OFFSET(Y$164,-1,0),0))</f>
        <v>131840.62</v>
      </c>
      <c r="Z172" s="529" cm="1">
        <f t="array" aca="1" ref="Z172" ca="1">IF(Z$12=1,0,OFFSET(Z172,0,-1))+SUM((OFFSET($C$13,1,0):OFFSET($C$164,-3,0))*IF(ISNUMBER(OFFSET(Z$11,5,0):OFFSET(Z$164,-1,0)),OFFSET(Z$11,5,0):OFFSET(Z$164,-1,0),0))</f>
        <v>131840.62</v>
      </c>
      <c r="AA172" s="529" cm="1">
        <f t="array" aca="1" ref="AA172" ca="1">IF(AA$12=1,0,OFFSET(AA172,0,-1))+SUM((OFFSET($C$13,1,0):OFFSET($C$164,-3,0))*IF(ISNUMBER(OFFSET(AA$11,5,0):OFFSET(AA$164,-1,0)),OFFSET(AA$11,5,0):OFFSET(AA$164,-1,0),0))</f>
        <v>131840.62</v>
      </c>
      <c r="AB172" s="529" cm="1">
        <f t="array" aca="1" ref="AB172" ca="1">IF(AB$12=1,0,OFFSET(AB172,0,-1))+SUM((OFFSET($C$13,1,0):OFFSET($C$164,-3,0))*IF(ISNUMBER(OFFSET(AB$11,5,0):OFFSET(AB$164,-1,0)),OFFSET(AB$11,5,0):OFFSET(AB$164,-1,0),0))</f>
        <v>131840.62</v>
      </c>
      <c r="AC172" s="529" cm="1">
        <f t="array" aca="1" ref="AC172" ca="1">IF(AC$12=1,0,OFFSET(AC172,0,-1))+SUM((OFFSET($C$13,1,0):OFFSET($C$164,-3,0))*IF(ISNUMBER(OFFSET(AC$11,5,0):OFFSET(AC$164,-1,0)),OFFSET(AC$11,5,0):OFFSET(AC$164,-1,0),0))</f>
        <v>131840.62</v>
      </c>
      <c r="AD172" s="529" cm="1">
        <f t="array" aca="1" ref="AD172" ca="1">IF(AD$12=1,0,OFFSET(AD172,0,-1))+SUM((OFFSET($C$13,1,0):OFFSET($C$164,-3,0))*IF(ISNUMBER(OFFSET(AD$11,5,0):OFFSET(AD$164,-1,0)),OFFSET(AD$11,5,0):OFFSET(AD$164,-1,0),0))</f>
        <v>131840.62</v>
      </c>
      <c r="AE172" s="529" cm="1">
        <f t="array" aca="1" ref="AE172" ca="1">IF(AE$12=1,0,OFFSET(AE172,0,-1))+SUM((OFFSET($C$13,1,0):OFFSET($C$164,-3,0))*IF(ISNUMBER(OFFSET(AE$11,5,0):OFFSET(AE$164,-1,0)),OFFSET(AE$11,5,0):OFFSET(AE$164,-1,0),0))</f>
        <v>131840.62</v>
      </c>
      <c r="AF172" s="529" cm="1">
        <f t="array" aca="1" ref="AF172" ca="1">IF(AF$12=1,0,OFFSET(AF172,0,-1))+SUM((OFFSET($C$13,1,0):OFFSET($C$164,-3,0))*IF(ISNUMBER(OFFSET(AF$11,5,0):OFFSET(AF$164,-1,0)),OFFSET(AF$11,5,0):OFFSET(AF$164,-1,0),0))</f>
        <v>131840.62</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65920.31</v>
      </c>
      <c r="G174" s="185" t="s">
        <v>536</v>
      </c>
      <c r="H174" s="522" t="str" cm="1">
        <f t="array" ref="H174">IF(ACOMPANHAMENTO="BM","Selecione o Macrosserviço da Administração Local:","")</f>
        <v/>
      </c>
      <c r="I174"/>
      <c r="L174" s="236"/>
      <c r="S174" s="237"/>
      <c r="T174" s="526" t="s">
        <v>802</v>
      </c>
      <c r="U174" s="531">
        <f t="shared" ref="U174:AF174" ca="1" si="317">SUMIF($S$12:$S$164,"1$",U12:U164)+IF(U$12&gt;1,OFFSET(U174,0,-1),0)</f>
        <v>65920.31</v>
      </c>
      <c r="V174" s="531">
        <f t="shared" ca="1" si="317"/>
        <v>131840.62</v>
      </c>
      <c r="W174" s="531">
        <f t="shared" ca="1" si="317"/>
        <v>131840.62</v>
      </c>
      <c r="X174" s="531">
        <f t="shared" ca="1" si="317"/>
        <v>131840.62</v>
      </c>
      <c r="Y174" s="531">
        <f t="shared" ca="1" si="317"/>
        <v>131840.62</v>
      </c>
      <c r="Z174" s="531">
        <f t="shared" ca="1" si="317"/>
        <v>131840.62</v>
      </c>
      <c r="AA174" s="531">
        <f t="shared" ca="1" si="317"/>
        <v>131840.62</v>
      </c>
      <c r="AB174" s="531">
        <f t="shared" ca="1" si="317"/>
        <v>131840.62</v>
      </c>
      <c r="AC174" s="531">
        <f t="shared" ca="1" si="317"/>
        <v>131840.62</v>
      </c>
      <c r="AD174" s="531">
        <f t="shared" ca="1" si="317"/>
        <v>131840.62</v>
      </c>
      <c r="AE174" s="531">
        <f t="shared" ca="1" si="317"/>
        <v>131840.62</v>
      </c>
      <c r="AF174" s="540">
        <f t="shared" ca="1" si="317"/>
        <v>131840.62</v>
      </c>
      <c r="AG174" s="534"/>
    </row>
    <row r="175" spans="1:33" ht="13.5" thickBot="1" x14ac:dyDescent="0.25">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IF(ACOMPANHAMENTO="PLE",
    IF(AUTOEVENTO="Manual",
        IF(AdmLocal="Automática",1,IF(CRONOPLE!$D$8&lt;&gt;"","",MATCH(Import.EventoAdmLocal,EVENTOS!$B$15:$B$65,0))),
        IF(CRONOPLE!$D$8&lt;&gt;"","",CRONOPLE!$A$10)),
    IF($H$176&lt;&gt;"","",MATCH(Import.MacrosserviçoAdmLocal,$A$13:$A$164,0)-1))</f>
        <v/>
      </c>
      <c r="G175" s="185" t="s">
        <v>536</v>
      </c>
      <c r="H175" s="728"/>
      <c r="I175" s="770"/>
      <c r="J175" s="729"/>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25">
      <c r="G176" s="185" t="s">
        <v>536</v>
      </c>
      <c r="H176" s="571" t="str" cm="1">
        <f t="array" ref="H176">IF(AND(ACOMPANHAMENTO="BM",$H$175=""),"↑ Não foi indicado o Macrosserviço de Administração Local","")</f>
        <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16" t="str">
        <f>Import.Município</f>
        <v>Ivorá/RS</v>
      </c>
      <c r="J177" s="716"/>
      <c r="K177" s="716"/>
      <c r="L177" s="716"/>
      <c r="M177" s="716"/>
      <c r="N177" s="716"/>
      <c r="O177" s="716"/>
      <c r="P177" s="716"/>
      <c r="Q177" s="716"/>
      <c r="R177" s="716"/>
      <c r="S177" s="716"/>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Vitor Camargo Costa</v>
      </c>
      <c r="AC179"/>
      <c r="AD179" s="79"/>
      <c r="AE179" s="185"/>
      <c r="AF179" s="185"/>
    </row>
    <row r="180" spans="7:32" x14ac:dyDescent="0.2">
      <c r="G180" s="185" t="s">
        <v>536</v>
      </c>
      <c r="I180" s="769">
        <f>DADOS!$C$25</f>
        <v>45957</v>
      </c>
      <c r="J180" s="769"/>
      <c r="K180" s="769"/>
      <c r="L180" s="180"/>
      <c r="M180" s="245"/>
      <c r="N180" s="245"/>
      <c r="O180" s="245"/>
      <c r="P180" s="245"/>
      <c r="Q180" s="245"/>
      <c r="R180" s="245"/>
      <c r="S180" s="246"/>
      <c r="AA180" s="398" t="str">
        <f ca="1"/>
        <v>CREA/CAU: RS203284</v>
      </c>
      <c r="AC180" s="79"/>
      <c r="AD180" s="79"/>
      <c r="AE180" s="185"/>
      <c r="AF180" s="185"/>
    </row>
    <row r="181" spans="7:32" x14ac:dyDescent="0.2">
      <c r="G181" s="185" t="s">
        <v>536</v>
      </c>
      <c r="I181" s="9" t="s">
        <v>694</v>
      </c>
      <c r="J181"/>
      <c r="K181"/>
      <c r="L181"/>
      <c r="AA181" s="398" t="str">
        <f ca="1"/>
        <v xml:space="preserve">ART/RRT: </v>
      </c>
      <c r="AC181" s="79"/>
      <c r="AD181" s="79"/>
      <c r="AE181" s="185"/>
      <c r="AF181" s="185"/>
    </row>
  </sheetData>
  <sheetProtection algorithmName="SHA-512" hashValue="dAYhW3HcTrWC6XaEbZTDCFZXWnib8ax020Sb9tTUMJqlT8Gu1DanXuM7+RuR1UJiPDgX1+t5aaNQBxrYwCsmuA==" saltValue="26PI+CT3BNEC1emeFduAeQ==" spinCount="100000" sheet="1" objects="1" scenarios="1" autoFilter="0"/>
  <autoFilter ref="G13:G181" xr:uid="{00000000-0009-0000-0000-000007000000}"/>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320" priority="16575" stopIfTrue="1">
      <formula>NOT(ISNUMBER(T$12))</formula>
    </cfRule>
  </conditionalFormatting>
  <conditionalFormatting sqref="E2 U2:AF2">
    <cfRule type="expression" dxfId="319" priority="16576" stopIfTrue="1">
      <formula>AND(ISNUMBER($H1),$H1&lt;&gt;0)</formula>
    </cfRule>
  </conditionalFormatting>
  <conditionalFormatting sqref="I2:S2">
    <cfRule type="expression" dxfId="318" priority="16577" stopIfTrue="1">
      <formula>$M1=2</formula>
    </cfRule>
    <cfRule type="expression" dxfId="317" priority="16578" stopIfTrue="1">
      <formula>AND($M1=1,$S1&lt;&gt;"")</formula>
    </cfRule>
  </conditionalFormatting>
  <conditionalFormatting sqref="I1:S1">
    <cfRule type="expression" dxfId="316" priority="16579" stopIfTrue="1">
      <formula>$M1=2</formula>
    </cfRule>
    <cfRule type="expression" dxfId="315" priority="16580" stopIfTrue="1">
      <formula>AND($M1=1,$S1&lt;&gt;"")</formula>
    </cfRule>
  </conditionalFormatting>
  <conditionalFormatting sqref="E165 E167 E169:E170 E172 E174 U174:AF174 U165:AF165 U167:AF167 U169:AF170 U172:AF172">
    <cfRule type="expression" dxfId="314" priority="16581" stopIfTrue="1">
      <formula>D$170=1</formula>
    </cfRule>
  </conditionalFormatting>
  <conditionalFormatting sqref="E166 E168 E171 E173 E175 U166:AF166 U168:AF168 U171:AF171 U173:AF173 U175:AF175">
    <cfRule type="expression" dxfId="313" priority="16582" stopIfTrue="1">
      <formula>D$170=1</formula>
    </cfRule>
  </conditionalFormatting>
  <conditionalFormatting sqref="AF7:AF8">
    <cfRule type="expression" dxfId="312" priority="16586" stopIfTrue="1">
      <formula>OR(TIPOORCAMENTO&lt;&gt;"Licitado",QCI.ExisteManual)</formula>
    </cfRule>
  </conditionalFormatting>
  <conditionalFormatting sqref="Z7:AE8">
    <cfRule type="expression" dxfId="311" priority="16574" stopIfTrue="1">
      <formula>QCI.ExisteManual</formula>
    </cfRule>
  </conditionalFormatting>
  <conditionalFormatting sqref="H2">
    <cfRule type="expression" dxfId="310" priority="12720">
      <formula>AND(H1&lt;&gt;0,ISNUMBER(H1))</formula>
    </cfRule>
  </conditionalFormatting>
  <conditionalFormatting sqref="E175 U175:AF175">
    <cfRule type="expression" dxfId="309" priority="12711">
      <formula>ROUND(E175,4)&gt;ROUND(E170,4)</formula>
    </cfRule>
  </conditionalFormatting>
  <conditionalFormatting sqref="H1">
    <cfRule type="expression" dxfId="308" priority="12710">
      <formula>AND(H1&lt;&gt;0,ISNUMBER(H1))</formula>
    </cfRule>
  </conditionalFormatting>
  <conditionalFormatting sqref="H175:J175">
    <cfRule type="expression" dxfId="307" priority="12709">
      <formula>$H$174=""</formula>
    </cfRule>
  </conditionalFormatting>
  <conditionalFormatting sqref="E175">
    <cfRule type="expression" dxfId="306" priority="12702" stopIfTrue="1">
      <formula>D$170=1</formula>
    </cfRule>
  </conditionalFormatting>
  <conditionalFormatting sqref="E1">
    <cfRule type="expression" dxfId="305" priority="12699" stopIfTrue="1">
      <formula>E1&lt;&gt;0</formula>
    </cfRule>
  </conditionalFormatting>
  <conditionalFormatting sqref="E2">
    <cfRule type="expression" dxfId="304" priority="12698">
      <formula>AND(_xlfn.SINGLE(ACOMPANHAMENTO)="BM",E2&gt;ROUND(E2,4))</formula>
    </cfRule>
  </conditionalFormatting>
  <conditionalFormatting sqref="E175">
    <cfRule type="expression" dxfId="303" priority="12697" stopIfTrue="1">
      <formula>D$170=1</formula>
    </cfRule>
  </conditionalFormatting>
  <conditionalFormatting sqref="U1:AF1">
    <cfRule type="expression" dxfId="302" priority="2653" stopIfTrue="1">
      <formula>U1&lt;&gt;0</formula>
    </cfRule>
  </conditionalFormatting>
  <conditionalFormatting sqref="U2:AF2">
    <cfRule type="expression" dxfId="301" priority="2652">
      <formula>AND(_xlfn.SINGLE(ACOMPANHAMENTO)="BM",U2&gt;ROUND(U2,4))</formula>
    </cfRule>
  </conditionalFormatting>
  <conditionalFormatting sqref="E15 E18 E21 U15:AF15 U18:AF18 U21:AF21">
    <cfRule type="expression" dxfId="300" priority="183" stopIfTrue="1">
      <formula>AND(ISNUMBER($H14),$H14&lt;&gt;0)</formula>
    </cfRule>
  </conditionalFormatting>
  <conditionalFormatting sqref="I15:S15 I18:S18 I21:S21">
    <cfRule type="expression" dxfId="299" priority="184" stopIfTrue="1">
      <formula>$M14=2</formula>
    </cfRule>
    <cfRule type="expression" dxfId="298" priority="185" stopIfTrue="1">
      <formula>AND($M14=1,$S14&lt;&gt;"")</formula>
    </cfRule>
  </conditionalFormatting>
  <conditionalFormatting sqref="I14:S14 I17:S17 I20:S20">
    <cfRule type="expression" dxfId="297" priority="186" stopIfTrue="1">
      <formula>$M14=2</formula>
    </cfRule>
    <cfRule type="expression" dxfId="296" priority="187" stopIfTrue="1">
      <formula>AND($M14=1,$S14&lt;&gt;"")</formula>
    </cfRule>
  </conditionalFormatting>
  <conditionalFormatting sqref="H15 H18 H21">
    <cfRule type="expression" dxfId="295" priority="182">
      <formula>AND(H14&lt;&gt;0,ISNUMBER(H14))</formula>
    </cfRule>
  </conditionalFormatting>
  <conditionalFormatting sqref="H14 H17 H20">
    <cfRule type="expression" dxfId="294" priority="181">
      <formula>AND(H14&lt;&gt;0,ISNUMBER(H14))</formula>
    </cfRule>
  </conditionalFormatting>
  <conditionalFormatting sqref="E14 E17 E20">
    <cfRule type="expression" dxfId="293" priority="180" stopIfTrue="1">
      <formula>E14&lt;&gt;0</formula>
    </cfRule>
  </conditionalFormatting>
  <conditionalFormatting sqref="E15 E18 E21">
    <cfRule type="expression" dxfId="292" priority="179">
      <formula>AND(_xlfn.SINGLE(ACOMPANHAMENTO)="BM",E15&gt;ROUND(E15,4))</formula>
    </cfRule>
  </conditionalFormatting>
  <conditionalFormatting sqref="U14:AF14 U17:AF17 U20:AF20">
    <cfRule type="expression" dxfId="291" priority="178" stopIfTrue="1">
      <formula>U14&lt;&gt;0</formula>
    </cfRule>
  </conditionalFormatting>
  <conditionalFormatting sqref="U15:AF15 U18:AF18 U21:AF21">
    <cfRule type="expression" dxfId="290" priority="177">
      <formula>AND(_xlfn.SINGLE(ACOMPANHAMENTO)="BM",U15&gt;ROUND(U15,4))</formula>
    </cfRule>
  </conditionalFormatting>
  <conditionalFormatting sqref="E24 E27 E30 U24:AF24 U27:AF27 U30:AF30">
    <cfRule type="expression" dxfId="289" priority="172" stopIfTrue="1">
      <formula>AND(ISNUMBER($H23),$H23&lt;&gt;0)</formula>
    </cfRule>
  </conditionalFormatting>
  <conditionalFormatting sqref="I24:S24 I27:S27 I30:S30">
    <cfRule type="expression" dxfId="288" priority="173" stopIfTrue="1">
      <formula>$M23=2</formula>
    </cfRule>
    <cfRule type="expression" dxfId="287" priority="174" stopIfTrue="1">
      <formula>AND($M23=1,$S23&lt;&gt;"")</formula>
    </cfRule>
  </conditionalFormatting>
  <conditionalFormatting sqref="I23:S23 I26:S26 I29:S29">
    <cfRule type="expression" dxfId="286" priority="175" stopIfTrue="1">
      <formula>$M23=2</formula>
    </cfRule>
    <cfRule type="expression" dxfId="285" priority="176" stopIfTrue="1">
      <formula>AND($M23=1,$S23&lt;&gt;"")</formula>
    </cfRule>
  </conditionalFormatting>
  <conditionalFormatting sqref="H24 H27 H30">
    <cfRule type="expression" dxfId="284" priority="171">
      <formula>AND(H23&lt;&gt;0,ISNUMBER(H23))</formula>
    </cfRule>
  </conditionalFormatting>
  <conditionalFormatting sqref="H23 H26 H29">
    <cfRule type="expression" dxfId="283" priority="170">
      <formula>AND(H23&lt;&gt;0,ISNUMBER(H23))</formula>
    </cfRule>
  </conditionalFormatting>
  <conditionalFormatting sqref="E23 E26 E29">
    <cfRule type="expression" dxfId="282" priority="169" stopIfTrue="1">
      <formula>E23&lt;&gt;0</formula>
    </cfRule>
  </conditionalFormatting>
  <conditionalFormatting sqref="E24 E27 E30">
    <cfRule type="expression" dxfId="281" priority="168">
      <formula>AND(_xlfn.SINGLE(ACOMPANHAMENTO)="BM",E24&gt;ROUND(E24,4))</formula>
    </cfRule>
  </conditionalFormatting>
  <conditionalFormatting sqref="U23:AF23 U26:AF26 U29:AF29">
    <cfRule type="expression" dxfId="280" priority="167" stopIfTrue="1">
      <formula>U23&lt;&gt;0</formula>
    </cfRule>
  </conditionalFormatting>
  <conditionalFormatting sqref="U24:AF24 U27:AF27 U30:AF30">
    <cfRule type="expression" dxfId="279" priority="166">
      <formula>AND(_xlfn.SINGLE(ACOMPANHAMENTO)="BM",U24&gt;ROUND(U24,4))</formula>
    </cfRule>
  </conditionalFormatting>
  <conditionalFormatting sqref="E33 E36 E39 U33:AF33 U36:AF36 U39:AF39">
    <cfRule type="expression" dxfId="278" priority="161" stopIfTrue="1">
      <formula>AND(ISNUMBER($H32),$H32&lt;&gt;0)</formula>
    </cfRule>
  </conditionalFormatting>
  <conditionalFormatting sqref="I33:S33 I36:S36 I39:S39">
    <cfRule type="expression" dxfId="277" priority="162" stopIfTrue="1">
      <formula>$M32=2</formula>
    </cfRule>
    <cfRule type="expression" dxfId="276" priority="163" stopIfTrue="1">
      <formula>AND($M32=1,$S32&lt;&gt;"")</formula>
    </cfRule>
  </conditionalFormatting>
  <conditionalFormatting sqref="I32:S32 I35:S35 I38:S38">
    <cfRule type="expression" dxfId="275" priority="164" stopIfTrue="1">
      <formula>$M32=2</formula>
    </cfRule>
    <cfRule type="expression" dxfId="274" priority="165" stopIfTrue="1">
      <formula>AND($M32=1,$S32&lt;&gt;"")</formula>
    </cfRule>
  </conditionalFormatting>
  <conditionalFormatting sqref="H33 H36 H39">
    <cfRule type="expression" dxfId="273" priority="160">
      <formula>AND(H32&lt;&gt;0,ISNUMBER(H32))</formula>
    </cfRule>
  </conditionalFormatting>
  <conditionalFormatting sqref="H32 H35 H38">
    <cfRule type="expression" dxfId="272" priority="159">
      <formula>AND(H32&lt;&gt;0,ISNUMBER(H32))</formula>
    </cfRule>
  </conditionalFormatting>
  <conditionalFormatting sqref="E32 E35 E38">
    <cfRule type="expression" dxfId="271" priority="158" stopIfTrue="1">
      <formula>E32&lt;&gt;0</formula>
    </cfRule>
  </conditionalFormatting>
  <conditionalFormatting sqref="E33 E36 E39">
    <cfRule type="expression" dxfId="270" priority="157">
      <formula>AND(_xlfn.SINGLE(ACOMPANHAMENTO)="BM",E33&gt;ROUND(E33,4))</formula>
    </cfRule>
  </conditionalFormatting>
  <conditionalFormatting sqref="U32:AF32 U35:AF35 U38:AF38">
    <cfRule type="expression" dxfId="269" priority="156" stopIfTrue="1">
      <formula>U32&lt;&gt;0</formula>
    </cfRule>
  </conditionalFormatting>
  <conditionalFormatting sqref="U33:AF33 U36:AF36 U39:AF39">
    <cfRule type="expression" dxfId="268" priority="155">
      <formula>AND(_xlfn.SINGLE(ACOMPANHAMENTO)="BM",U33&gt;ROUND(U33,4))</formula>
    </cfRule>
  </conditionalFormatting>
  <conditionalFormatting sqref="E42 E45 E48 U42:AF42 U45:AF45 U48:AF48">
    <cfRule type="expression" dxfId="267" priority="150" stopIfTrue="1">
      <formula>AND(ISNUMBER($H41),$H41&lt;&gt;0)</formula>
    </cfRule>
  </conditionalFormatting>
  <conditionalFormatting sqref="I42:S42 I45:S45 I48:S48">
    <cfRule type="expression" dxfId="266" priority="151" stopIfTrue="1">
      <formula>$M41=2</formula>
    </cfRule>
    <cfRule type="expression" dxfId="265" priority="152" stopIfTrue="1">
      <formula>AND($M41=1,$S41&lt;&gt;"")</formula>
    </cfRule>
  </conditionalFormatting>
  <conditionalFormatting sqref="I41:S41 I44:S44 I47:S47">
    <cfRule type="expression" dxfId="264" priority="153" stopIfTrue="1">
      <formula>$M41=2</formula>
    </cfRule>
    <cfRule type="expression" dxfId="263" priority="154" stopIfTrue="1">
      <formula>AND($M41=1,$S41&lt;&gt;"")</formula>
    </cfRule>
  </conditionalFormatting>
  <conditionalFormatting sqref="H42 H45 H48">
    <cfRule type="expression" dxfId="262" priority="149">
      <formula>AND(H41&lt;&gt;0,ISNUMBER(H41))</formula>
    </cfRule>
  </conditionalFormatting>
  <conditionalFormatting sqref="H41 H44 H47">
    <cfRule type="expression" dxfId="261" priority="148">
      <formula>AND(H41&lt;&gt;0,ISNUMBER(H41))</formula>
    </cfRule>
  </conditionalFormatting>
  <conditionalFormatting sqref="E41 E44 E47">
    <cfRule type="expression" dxfId="260" priority="147" stopIfTrue="1">
      <formula>E41&lt;&gt;0</formula>
    </cfRule>
  </conditionalFormatting>
  <conditionalFormatting sqref="E42 E45 E48">
    <cfRule type="expression" dxfId="259" priority="146">
      <formula>AND(_xlfn.SINGLE(ACOMPANHAMENTO)="BM",E42&gt;ROUND(E42,4))</formula>
    </cfRule>
  </conditionalFormatting>
  <conditionalFormatting sqref="U41:AF41 U44:AF44 U47:AF47">
    <cfRule type="expression" dxfId="258" priority="145" stopIfTrue="1">
      <formula>U41&lt;&gt;0</formula>
    </cfRule>
  </conditionalFormatting>
  <conditionalFormatting sqref="U42:AF42 U45:AF45 U48:AF48">
    <cfRule type="expression" dxfId="257" priority="144">
      <formula>AND(_xlfn.SINGLE(ACOMPANHAMENTO)="BM",U42&gt;ROUND(U42,4))</formula>
    </cfRule>
  </conditionalFormatting>
  <conditionalFormatting sqref="E51 E54 E57 U51:AF51 U54:AF54 U57:AF57">
    <cfRule type="expression" dxfId="256" priority="139" stopIfTrue="1">
      <formula>AND(ISNUMBER($H50),$H50&lt;&gt;0)</formula>
    </cfRule>
  </conditionalFormatting>
  <conditionalFormatting sqref="I51:S51 I54:S54 I57:S57">
    <cfRule type="expression" dxfId="255" priority="140" stopIfTrue="1">
      <formula>$M50=2</formula>
    </cfRule>
    <cfRule type="expression" dxfId="254" priority="141" stopIfTrue="1">
      <formula>AND($M50=1,$S50&lt;&gt;"")</formula>
    </cfRule>
  </conditionalFormatting>
  <conditionalFormatting sqref="I50:S50 I53:S53 I56:S56">
    <cfRule type="expression" dxfId="253" priority="142" stopIfTrue="1">
      <formula>$M50=2</formula>
    </cfRule>
    <cfRule type="expression" dxfId="252" priority="143" stopIfTrue="1">
      <formula>AND($M50=1,$S50&lt;&gt;"")</formula>
    </cfRule>
  </conditionalFormatting>
  <conditionalFormatting sqref="H51 H54 H57">
    <cfRule type="expression" dxfId="251" priority="138">
      <formula>AND(H50&lt;&gt;0,ISNUMBER(H50))</formula>
    </cfRule>
  </conditionalFormatting>
  <conditionalFormatting sqref="H50 H53 H56">
    <cfRule type="expression" dxfId="250" priority="137">
      <formula>AND(H50&lt;&gt;0,ISNUMBER(H50))</formula>
    </cfRule>
  </conditionalFormatting>
  <conditionalFormatting sqref="E50 E53 E56">
    <cfRule type="expression" dxfId="249" priority="136" stopIfTrue="1">
      <formula>E50&lt;&gt;0</formula>
    </cfRule>
  </conditionalFormatting>
  <conditionalFormatting sqref="E51 E54 E57">
    <cfRule type="expression" dxfId="248" priority="135">
      <formula>AND(_xlfn.SINGLE(ACOMPANHAMENTO)="BM",E51&gt;ROUND(E51,4))</formula>
    </cfRule>
  </conditionalFormatting>
  <conditionalFormatting sqref="U50:AF50 U53:AF53 U56:AF56">
    <cfRule type="expression" dxfId="247" priority="134" stopIfTrue="1">
      <formula>U50&lt;&gt;0</formula>
    </cfRule>
  </conditionalFormatting>
  <conditionalFormatting sqref="U51:AF51 U54:AF54 U57:AF57">
    <cfRule type="expression" dxfId="246" priority="133">
      <formula>AND(_xlfn.SINGLE(ACOMPANHAMENTO)="BM",U51&gt;ROUND(U51,4))</formula>
    </cfRule>
  </conditionalFormatting>
  <conditionalFormatting sqref="E60 E63 E66 U60:AF60 U63:AF63 U66:AF66">
    <cfRule type="expression" dxfId="245" priority="128" stopIfTrue="1">
      <formula>AND(ISNUMBER($H59),$H59&lt;&gt;0)</formula>
    </cfRule>
  </conditionalFormatting>
  <conditionalFormatting sqref="I60:S60 I63:S63 I66:S66">
    <cfRule type="expression" dxfId="244" priority="129" stopIfTrue="1">
      <formula>$M59=2</formula>
    </cfRule>
    <cfRule type="expression" dxfId="243" priority="130" stopIfTrue="1">
      <formula>AND($M59=1,$S59&lt;&gt;"")</formula>
    </cfRule>
  </conditionalFormatting>
  <conditionalFormatting sqref="I59:S59 I62:S62 I65:S65">
    <cfRule type="expression" dxfId="242" priority="131" stopIfTrue="1">
      <formula>$M59=2</formula>
    </cfRule>
    <cfRule type="expression" dxfId="241" priority="132" stopIfTrue="1">
      <formula>AND($M59=1,$S59&lt;&gt;"")</formula>
    </cfRule>
  </conditionalFormatting>
  <conditionalFormatting sqref="H60 H63 H66">
    <cfRule type="expression" dxfId="240" priority="127">
      <formula>AND(H59&lt;&gt;0,ISNUMBER(H59))</formula>
    </cfRule>
  </conditionalFormatting>
  <conditionalFormatting sqref="H59 H62 H65">
    <cfRule type="expression" dxfId="239" priority="126">
      <formula>AND(H59&lt;&gt;0,ISNUMBER(H59))</formula>
    </cfRule>
  </conditionalFormatting>
  <conditionalFormatting sqref="E59 E62 E65">
    <cfRule type="expression" dxfId="238" priority="125" stopIfTrue="1">
      <formula>E59&lt;&gt;0</formula>
    </cfRule>
  </conditionalFormatting>
  <conditionalFormatting sqref="E60 E63 E66">
    <cfRule type="expression" dxfId="237" priority="124">
      <formula>AND(_xlfn.SINGLE(ACOMPANHAMENTO)="BM",E60&gt;ROUND(E60,4))</formula>
    </cfRule>
  </conditionalFormatting>
  <conditionalFormatting sqref="U59:AF59 U62:AF62 U65:AF65">
    <cfRule type="expression" dxfId="236" priority="123" stopIfTrue="1">
      <formula>U59&lt;&gt;0</formula>
    </cfRule>
  </conditionalFormatting>
  <conditionalFormatting sqref="U60:AF60 U63:AF63 U66:AF66">
    <cfRule type="expression" dxfId="235" priority="122">
      <formula>AND(_xlfn.SINGLE(ACOMPANHAMENTO)="BM",U60&gt;ROUND(U60,4))</formula>
    </cfRule>
  </conditionalFormatting>
  <conditionalFormatting sqref="E69 E72 E75 U69:AF69 U72:AF72 U75:AF75">
    <cfRule type="expression" dxfId="234" priority="117" stopIfTrue="1">
      <formula>AND(ISNUMBER($H68),$H68&lt;&gt;0)</formula>
    </cfRule>
  </conditionalFormatting>
  <conditionalFormatting sqref="I69:S69 I72:S72 I75:S75">
    <cfRule type="expression" dxfId="233" priority="118" stopIfTrue="1">
      <formula>$M68=2</formula>
    </cfRule>
    <cfRule type="expression" dxfId="232" priority="119" stopIfTrue="1">
      <formula>AND($M68=1,$S68&lt;&gt;"")</formula>
    </cfRule>
  </conditionalFormatting>
  <conditionalFormatting sqref="I68:S68 I71:S71 I74:S74">
    <cfRule type="expression" dxfId="231" priority="120" stopIfTrue="1">
      <formula>$M68=2</formula>
    </cfRule>
    <cfRule type="expression" dxfId="230" priority="121" stopIfTrue="1">
      <formula>AND($M68=1,$S68&lt;&gt;"")</formula>
    </cfRule>
  </conditionalFormatting>
  <conditionalFormatting sqref="H69 H72 H75">
    <cfRule type="expression" dxfId="229" priority="116">
      <formula>AND(H68&lt;&gt;0,ISNUMBER(H68))</formula>
    </cfRule>
  </conditionalFormatting>
  <conditionalFormatting sqref="H68 H71 H74">
    <cfRule type="expression" dxfId="228" priority="115">
      <formula>AND(H68&lt;&gt;0,ISNUMBER(H68))</formula>
    </cfRule>
  </conditionalFormatting>
  <conditionalFormatting sqref="E68 E71 E74">
    <cfRule type="expression" dxfId="227" priority="114" stopIfTrue="1">
      <formula>E68&lt;&gt;0</formula>
    </cfRule>
  </conditionalFormatting>
  <conditionalFormatting sqref="E69 E72 E75">
    <cfRule type="expression" dxfId="226" priority="113">
      <formula>AND(_xlfn.SINGLE(ACOMPANHAMENTO)="BM",E69&gt;ROUND(E69,4))</formula>
    </cfRule>
  </conditionalFormatting>
  <conditionalFormatting sqref="U68:AF68 U71:AF71 U74:AF74">
    <cfRule type="expression" dxfId="225" priority="112" stopIfTrue="1">
      <formula>U68&lt;&gt;0</formula>
    </cfRule>
  </conditionalFormatting>
  <conditionalFormatting sqref="U69:AF69 U72:AF72 U75:AF75">
    <cfRule type="expression" dxfId="224" priority="111">
      <formula>AND(_xlfn.SINGLE(ACOMPANHAMENTO)="BM",U69&gt;ROUND(U69,4))</formula>
    </cfRule>
  </conditionalFormatting>
  <conditionalFormatting sqref="E78 E81 E84 U78:AF78 U81:AF81 U84:AF84">
    <cfRule type="expression" dxfId="223" priority="106" stopIfTrue="1">
      <formula>AND(ISNUMBER($H77),$H77&lt;&gt;0)</formula>
    </cfRule>
  </conditionalFormatting>
  <conditionalFormatting sqref="I78:S78 I81:S81 I84:S84">
    <cfRule type="expression" dxfId="222" priority="107" stopIfTrue="1">
      <formula>$M77=2</formula>
    </cfRule>
    <cfRule type="expression" dxfId="221" priority="108" stopIfTrue="1">
      <formula>AND($M77=1,$S77&lt;&gt;"")</formula>
    </cfRule>
  </conditionalFormatting>
  <conditionalFormatting sqref="I77:S77 I80:S80 I83:S83">
    <cfRule type="expression" dxfId="220" priority="109" stopIfTrue="1">
      <formula>$M77=2</formula>
    </cfRule>
    <cfRule type="expression" dxfId="219" priority="110" stopIfTrue="1">
      <formula>AND($M77=1,$S77&lt;&gt;"")</formula>
    </cfRule>
  </conditionalFormatting>
  <conditionalFormatting sqref="H78 H81 H84">
    <cfRule type="expression" dxfId="218" priority="105">
      <formula>AND(H77&lt;&gt;0,ISNUMBER(H77))</formula>
    </cfRule>
  </conditionalFormatting>
  <conditionalFormatting sqref="H77 H80 H83">
    <cfRule type="expression" dxfId="217" priority="104">
      <formula>AND(H77&lt;&gt;0,ISNUMBER(H77))</formula>
    </cfRule>
  </conditionalFormatting>
  <conditionalFormatting sqref="E77 E80 E83">
    <cfRule type="expression" dxfId="216" priority="103" stopIfTrue="1">
      <formula>E77&lt;&gt;0</formula>
    </cfRule>
  </conditionalFormatting>
  <conditionalFormatting sqref="E78 E81 E84">
    <cfRule type="expression" dxfId="215" priority="102">
      <formula>AND(_xlfn.SINGLE(ACOMPANHAMENTO)="BM",E78&gt;ROUND(E78,4))</formula>
    </cfRule>
  </conditionalFormatting>
  <conditionalFormatting sqref="U77:AF77 U80:AF80 U83:AF83">
    <cfRule type="expression" dxfId="214" priority="101" stopIfTrue="1">
      <formula>U77&lt;&gt;0</formula>
    </cfRule>
  </conditionalFormatting>
  <conditionalFormatting sqref="U78:AF78 U81:AF81 U84:AF84">
    <cfRule type="expression" dxfId="213" priority="100">
      <formula>AND(_xlfn.SINGLE(ACOMPANHAMENTO)="BM",U78&gt;ROUND(U78,4))</formula>
    </cfRule>
  </conditionalFormatting>
  <conditionalFormatting sqref="E87 E90 E93 U87:AF87 U90:AF90 U93:AF93">
    <cfRule type="expression" dxfId="212" priority="95" stopIfTrue="1">
      <formula>AND(ISNUMBER($H86),$H86&lt;&gt;0)</formula>
    </cfRule>
  </conditionalFormatting>
  <conditionalFormatting sqref="I87:S87 I90:S90 I93:S93">
    <cfRule type="expression" dxfId="211" priority="96" stopIfTrue="1">
      <formula>$M86=2</formula>
    </cfRule>
    <cfRule type="expression" dxfId="210" priority="97" stopIfTrue="1">
      <formula>AND($M86=1,$S86&lt;&gt;"")</formula>
    </cfRule>
  </conditionalFormatting>
  <conditionalFormatting sqref="I86:S86 I89:S89 I92:S92">
    <cfRule type="expression" dxfId="209" priority="98" stopIfTrue="1">
      <formula>$M86=2</formula>
    </cfRule>
    <cfRule type="expression" dxfId="208" priority="99" stopIfTrue="1">
      <formula>AND($M86=1,$S86&lt;&gt;"")</formula>
    </cfRule>
  </conditionalFormatting>
  <conditionalFormatting sqref="H87 H90 H93">
    <cfRule type="expression" dxfId="207" priority="94">
      <formula>AND(H86&lt;&gt;0,ISNUMBER(H86))</formula>
    </cfRule>
  </conditionalFormatting>
  <conditionalFormatting sqref="H86 H89 H92">
    <cfRule type="expression" dxfId="206" priority="93">
      <formula>AND(H86&lt;&gt;0,ISNUMBER(H86))</formula>
    </cfRule>
  </conditionalFormatting>
  <conditionalFormatting sqref="E86 E89 E92">
    <cfRule type="expression" dxfId="205" priority="92" stopIfTrue="1">
      <formula>E86&lt;&gt;0</formula>
    </cfRule>
  </conditionalFormatting>
  <conditionalFormatting sqref="E87 E90 E93">
    <cfRule type="expression" dxfId="204" priority="91">
      <formula>AND(_xlfn.SINGLE(ACOMPANHAMENTO)="BM",E87&gt;ROUND(E87,4))</formula>
    </cfRule>
  </conditionalFormatting>
  <conditionalFormatting sqref="U86:AF86 U89:AF89 U92:AF92">
    <cfRule type="expression" dxfId="203" priority="90" stopIfTrue="1">
      <formula>U86&lt;&gt;0</formula>
    </cfRule>
  </conditionalFormatting>
  <conditionalFormatting sqref="U87:AF87 U90:AF90 U93:AF93">
    <cfRule type="expression" dxfId="202" priority="89">
      <formula>AND(_xlfn.SINGLE(ACOMPANHAMENTO)="BM",U87&gt;ROUND(U87,4))</formula>
    </cfRule>
  </conditionalFormatting>
  <conditionalFormatting sqref="E96 E99 E102 U96:AF96 U99:AF99 U102:AF102">
    <cfRule type="expression" dxfId="201" priority="84" stopIfTrue="1">
      <formula>AND(ISNUMBER($H95),$H95&lt;&gt;0)</formula>
    </cfRule>
  </conditionalFormatting>
  <conditionalFormatting sqref="I96:S96 I99:S99 I102:S102">
    <cfRule type="expression" dxfId="200" priority="85" stopIfTrue="1">
      <formula>$M95=2</formula>
    </cfRule>
    <cfRule type="expression" dxfId="199" priority="86" stopIfTrue="1">
      <formula>AND($M95=1,$S95&lt;&gt;"")</formula>
    </cfRule>
  </conditionalFormatting>
  <conditionalFormatting sqref="I95:S95 I98:S98 I101:S101">
    <cfRule type="expression" dxfId="198" priority="87" stopIfTrue="1">
      <formula>$M95=2</formula>
    </cfRule>
    <cfRule type="expression" dxfId="197" priority="88" stopIfTrue="1">
      <formula>AND($M95=1,$S95&lt;&gt;"")</formula>
    </cfRule>
  </conditionalFormatting>
  <conditionalFormatting sqref="H96 H99 H102">
    <cfRule type="expression" dxfId="196" priority="83">
      <formula>AND(H95&lt;&gt;0,ISNUMBER(H95))</formula>
    </cfRule>
  </conditionalFormatting>
  <conditionalFormatting sqref="H95 H98 H101">
    <cfRule type="expression" dxfId="195" priority="82">
      <formula>AND(H95&lt;&gt;0,ISNUMBER(H95))</formula>
    </cfRule>
  </conditionalFormatting>
  <conditionalFormatting sqref="E95 E98 E101">
    <cfRule type="expression" dxfId="194" priority="81" stopIfTrue="1">
      <formula>E95&lt;&gt;0</formula>
    </cfRule>
  </conditionalFormatting>
  <conditionalFormatting sqref="E96 E99 E102">
    <cfRule type="expression" dxfId="193" priority="80">
      <formula>AND(_xlfn.SINGLE(ACOMPANHAMENTO)="BM",E96&gt;ROUND(E96,4))</formula>
    </cfRule>
  </conditionalFormatting>
  <conditionalFormatting sqref="U95:AF95 U98:AF98 U101:AF101">
    <cfRule type="expression" dxfId="192" priority="79" stopIfTrue="1">
      <formula>U95&lt;&gt;0</formula>
    </cfRule>
  </conditionalFormatting>
  <conditionalFormatting sqref="U96:AF96 U99:AF99 U102:AF102">
    <cfRule type="expression" dxfId="191" priority="78">
      <formula>AND(_xlfn.SINGLE(ACOMPANHAMENTO)="BM",U96&gt;ROUND(U96,4))</formula>
    </cfRule>
  </conditionalFormatting>
  <conditionalFormatting sqref="E105 E108 E111 U105:AF105 U108:AF108 U111:AF111">
    <cfRule type="expression" dxfId="190" priority="73" stopIfTrue="1">
      <formula>AND(ISNUMBER($H104),$H104&lt;&gt;0)</formula>
    </cfRule>
  </conditionalFormatting>
  <conditionalFormatting sqref="I105:S105 I108:S108 I111:S111">
    <cfRule type="expression" dxfId="189" priority="74" stopIfTrue="1">
      <formula>$M104=2</formula>
    </cfRule>
    <cfRule type="expression" dxfId="188" priority="75" stopIfTrue="1">
      <formula>AND($M104=1,$S104&lt;&gt;"")</formula>
    </cfRule>
  </conditionalFormatting>
  <conditionalFormatting sqref="I104:S104 I107:S107 I110:S110">
    <cfRule type="expression" dxfId="187" priority="76" stopIfTrue="1">
      <formula>$M104=2</formula>
    </cfRule>
    <cfRule type="expression" dxfId="186" priority="77" stopIfTrue="1">
      <formula>AND($M104=1,$S104&lt;&gt;"")</formula>
    </cfRule>
  </conditionalFormatting>
  <conditionalFormatting sqref="H105 H108 H111">
    <cfRule type="expression" dxfId="185" priority="72">
      <formula>AND(H104&lt;&gt;0,ISNUMBER(H104))</formula>
    </cfRule>
  </conditionalFormatting>
  <conditionalFormatting sqref="H104 H107 H110">
    <cfRule type="expression" dxfId="184" priority="71">
      <formula>AND(H104&lt;&gt;0,ISNUMBER(H104))</formula>
    </cfRule>
  </conditionalFormatting>
  <conditionalFormatting sqref="E104 E107 E110">
    <cfRule type="expression" dxfId="183" priority="70" stopIfTrue="1">
      <formula>E104&lt;&gt;0</formula>
    </cfRule>
  </conditionalFormatting>
  <conditionalFormatting sqref="E105 E108 E111">
    <cfRule type="expression" dxfId="182" priority="69">
      <formula>AND(_xlfn.SINGLE(ACOMPANHAMENTO)="BM",E105&gt;ROUND(E105,4))</formula>
    </cfRule>
  </conditionalFormatting>
  <conditionalFormatting sqref="U104:AF104 U107:AF107 U110:AF110">
    <cfRule type="expression" dxfId="181" priority="68" stopIfTrue="1">
      <formula>U104&lt;&gt;0</formula>
    </cfRule>
  </conditionalFormatting>
  <conditionalFormatting sqref="U105:AF105 U108:AF108 U111:AF111">
    <cfRule type="expression" dxfId="180" priority="67">
      <formula>AND(_xlfn.SINGLE(ACOMPANHAMENTO)="BM",U105&gt;ROUND(U105,4))</formula>
    </cfRule>
  </conditionalFormatting>
  <conditionalFormatting sqref="E114 E117 E120 U114:AF114 U117:AF117 U120:AF120">
    <cfRule type="expression" dxfId="179" priority="62" stopIfTrue="1">
      <formula>AND(ISNUMBER($H113),$H113&lt;&gt;0)</formula>
    </cfRule>
  </conditionalFormatting>
  <conditionalFormatting sqref="I114:S114 I117:S117 I120:S120">
    <cfRule type="expression" dxfId="178" priority="63" stopIfTrue="1">
      <formula>$M113=2</formula>
    </cfRule>
    <cfRule type="expression" dxfId="177" priority="64" stopIfTrue="1">
      <formula>AND($M113=1,$S113&lt;&gt;"")</formula>
    </cfRule>
  </conditionalFormatting>
  <conditionalFormatting sqref="I113:S113 I116:S116 I119:S119">
    <cfRule type="expression" dxfId="176" priority="65" stopIfTrue="1">
      <formula>$M113=2</formula>
    </cfRule>
    <cfRule type="expression" dxfId="175" priority="66" stopIfTrue="1">
      <formula>AND($M113=1,$S113&lt;&gt;"")</formula>
    </cfRule>
  </conditionalFormatting>
  <conditionalFormatting sqref="H114 H117 H120">
    <cfRule type="expression" dxfId="174" priority="61">
      <formula>AND(H113&lt;&gt;0,ISNUMBER(H113))</formula>
    </cfRule>
  </conditionalFormatting>
  <conditionalFormatting sqref="H113 H116 H119">
    <cfRule type="expression" dxfId="173" priority="60">
      <formula>AND(H113&lt;&gt;0,ISNUMBER(H113))</formula>
    </cfRule>
  </conditionalFormatting>
  <conditionalFormatting sqref="E113 E116 E119">
    <cfRule type="expression" dxfId="172" priority="59" stopIfTrue="1">
      <formula>E113&lt;&gt;0</formula>
    </cfRule>
  </conditionalFormatting>
  <conditionalFormatting sqref="E114 E117 E120">
    <cfRule type="expression" dxfId="171" priority="58">
      <formula>AND(_xlfn.SINGLE(ACOMPANHAMENTO)="BM",E114&gt;ROUND(E114,4))</formula>
    </cfRule>
  </conditionalFormatting>
  <conditionalFormatting sqref="U113:AF113 U116:AF116 U119:AF119">
    <cfRule type="expression" dxfId="170" priority="57" stopIfTrue="1">
      <formula>U113&lt;&gt;0</formula>
    </cfRule>
  </conditionalFormatting>
  <conditionalFormatting sqref="U114:AF114 U117:AF117 U120:AF120">
    <cfRule type="expression" dxfId="169" priority="56">
      <formula>AND(_xlfn.SINGLE(ACOMPANHAMENTO)="BM",U114&gt;ROUND(U114,4))</formula>
    </cfRule>
  </conditionalFormatting>
  <conditionalFormatting sqref="E123 E126 E129 U123:AF123 U126:AF126 U129:AF129">
    <cfRule type="expression" dxfId="168" priority="51" stopIfTrue="1">
      <formula>AND(ISNUMBER($H122),$H122&lt;&gt;0)</formula>
    </cfRule>
  </conditionalFormatting>
  <conditionalFormatting sqref="I123:S123 I126:S126 I129:S129">
    <cfRule type="expression" dxfId="167" priority="52" stopIfTrue="1">
      <formula>$M122=2</formula>
    </cfRule>
    <cfRule type="expression" dxfId="166" priority="53" stopIfTrue="1">
      <formula>AND($M122=1,$S122&lt;&gt;"")</formula>
    </cfRule>
  </conditionalFormatting>
  <conditionalFormatting sqref="I122:S122 I125:S125 I128:S128">
    <cfRule type="expression" dxfId="165" priority="54" stopIfTrue="1">
      <formula>$M122=2</formula>
    </cfRule>
    <cfRule type="expression" dxfId="164" priority="55" stopIfTrue="1">
      <formula>AND($M122=1,$S122&lt;&gt;"")</formula>
    </cfRule>
  </conditionalFormatting>
  <conditionalFormatting sqref="H123 H126 H129">
    <cfRule type="expression" dxfId="163" priority="50">
      <formula>AND(H122&lt;&gt;0,ISNUMBER(H122))</formula>
    </cfRule>
  </conditionalFormatting>
  <conditionalFormatting sqref="H122 H125 H128">
    <cfRule type="expression" dxfId="162" priority="49">
      <formula>AND(H122&lt;&gt;0,ISNUMBER(H122))</formula>
    </cfRule>
  </conditionalFormatting>
  <conditionalFormatting sqref="E122 E125 E128">
    <cfRule type="expression" dxfId="161" priority="48" stopIfTrue="1">
      <formula>E122&lt;&gt;0</formula>
    </cfRule>
  </conditionalFormatting>
  <conditionalFormatting sqref="E123 E126 E129">
    <cfRule type="expression" dxfId="160" priority="47">
      <formula>AND(_xlfn.SINGLE(ACOMPANHAMENTO)="BM",E123&gt;ROUND(E123,4))</formula>
    </cfRule>
  </conditionalFormatting>
  <conditionalFormatting sqref="U122:AF122 U125:AF125 U128:AF128">
    <cfRule type="expression" dxfId="159" priority="46" stopIfTrue="1">
      <formula>U122&lt;&gt;0</formula>
    </cfRule>
  </conditionalFormatting>
  <conditionalFormatting sqref="U123:AF123 U126:AF126 U129:AF129">
    <cfRule type="expression" dxfId="158" priority="45">
      <formula>AND(_xlfn.SINGLE(ACOMPANHAMENTO)="BM",U123&gt;ROUND(U123,4))</formula>
    </cfRule>
  </conditionalFormatting>
  <conditionalFormatting sqref="E132 E135 E138 U132:AF132 U135:AF135 U138:AF138">
    <cfRule type="expression" dxfId="157" priority="40" stopIfTrue="1">
      <formula>AND(ISNUMBER($H131),$H131&lt;&gt;0)</formula>
    </cfRule>
  </conditionalFormatting>
  <conditionalFormatting sqref="I132:S132 I135:S135 I138:S138">
    <cfRule type="expression" dxfId="156" priority="41" stopIfTrue="1">
      <formula>$M131=2</formula>
    </cfRule>
    <cfRule type="expression" dxfId="155" priority="42" stopIfTrue="1">
      <formula>AND($M131=1,$S131&lt;&gt;"")</formula>
    </cfRule>
  </conditionalFormatting>
  <conditionalFormatting sqref="I131:S131 I134:S134 I137:S137">
    <cfRule type="expression" dxfId="154" priority="43" stopIfTrue="1">
      <formula>$M131=2</formula>
    </cfRule>
    <cfRule type="expression" dxfId="153" priority="44" stopIfTrue="1">
      <formula>AND($M131=1,$S131&lt;&gt;"")</formula>
    </cfRule>
  </conditionalFormatting>
  <conditionalFormatting sqref="H132 H135 H138">
    <cfRule type="expression" dxfId="152" priority="39">
      <formula>AND(H131&lt;&gt;0,ISNUMBER(H131))</formula>
    </cfRule>
  </conditionalFormatting>
  <conditionalFormatting sqref="H131 H134 H137">
    <cfRule type="expression" dxfId="151" priority="38">
      <formula>AND(H131&lt;&gt;0,ISNUMBER(H131))</formula>
    </cfRule>
  </conditionalFormatting>
  <conditionalFormatting sqref="E131 E134 E137">
    <cfRule type="expression" dxfId="150" priority="37" stopIfTrue="1">
      <formula>E131&lt;&gt;0</formula>
    </cfRule>
  </conditionalFormatting>
  <conditionalFormatting sqref="E132 E135 E138">
    <cfRule type="expression" dxfId="149" priority="36">
      <formula>AND(_xlfn.SINGLE(ACOMPANHAMENTO)="BM",E132&gt;ROUND(E132,4))</formula>
    </cfRule>
  </conditionalFormatting>
  <conditionalFormatting sqref="U131:AF131 U134:AF134 U137:AF137">
    <cfRule type="expression" dxfId="148" priority="35" stopIfTrue="1">
      <formula>U131&lt;&gt;0</formula>
    </cfRule>
  </conditionalFormatting>
  <conditionalFormatting sqref="U132:AF132 U135:AF135 U138:AF138">
    <cfRule type="expression" dxfId="147" priority="34">
      <formula>AND(_xlfn.SINGLE(ACOMPANHAMENTO)="BM",U132&gt;ROUND(U132,4))</formula>
    </cfRule>
  </conditionalFormatting>
  <conditionalFormatting sqref="E141 E144 E147 U141:AF141 U144:AF144 U147:AF147">
    <cfRule type="expression" dxfId="146" priority="29" stopIfTrue="1">
      <formula>AND(ISNUMBER($H140),$H140&lt;&gt;0)</formula>
    </cfRule>
  </conditionalFormatting>
  <conditionalFormatting sqref="I141:S141 I144:S144 I147:S147">
    <cfRule type="expression" dxfId="145" priority="30" stopIfTrue="1">
      <formula>$M140=2</formula>
    </cfRule>
    <cfRule type="expression" dxfId="144" priority="31" stopIfTrue="1">
      <formula>AND($M140=1,$S140&lt;&gt;"")</formula>
    </cfRule>
  </conditionalFormatting>
  <conditionalFormatting sqref="I140:S140 I143:S143 I146:S146">
    <cfRule type="expression" dxfId="143" priority="32" stopIfTrue="1">
      <formula>$M140=2</formula>
    </cfRule>
    <cfRule type="expression" dxfId="142" priority="33" stopIfTrue="1">
      <formula>AND($M140=1,$S140&lt;&gt;"")</formula>
    </cfRule>
  </conditionalFormatting>
  <conditionalFormatting sqref="H141 H144 H147">
    <cfRule type="expression" dxfId="141" priority="28">
      <formula>AND(H140&lt;&gt;0,ISNUMBER(H140))</formula>
    </cfRule>
  </conditionalFormatting>
  <conditionalFormatting sqref="H140 H143 H146">
    <cfRule type="expression" dxfId="140" priority="27">
      <formula>AND(H140&lt;&gt;0,ISNUMBER(H140))</formula>
    </cfRule>
  </conditionalFormatting>
  <conditionalFormatting sqref="E140 E143 E146">
    <cfRule type="expression" dxfId="139" priority="26" stopIfTrue="1">
      <formula>E140&lt;&gt;0</formula>
    </cfRule>
  </conditionalFormatting>
  <conditionalFormatting sqref="E141 E144 E147">
    <cfRule type="expression" dxfId="138" priority="25">
      <formula>AND(_xlfn.SINGLE(ACOMPANHAMENTO)="BM",E141&gt;ROUND(E141,4))</formula>
    </cfRule>
  </conditionalFormatting>
  <conditionalFormatting sqref="U140:AF140 U143:AF143 U146:AF146">
    <cfRule type="expression" dxfId="137" priority="24" stopIfTrue="1">
      <formula>U140&lt;&gt;0</formula>
    </cfRule>
  </conditionalFormatting>
  <conditionalFormatting sqref="U141:AF141 U144:AF144 U147:AF147">
    <cfRule type="expression" dxfId="136" priority="23">
      <formula>AND(_xlfn.SINGLE(ACOMPANHAMENTO)="BM",U141&gt;ROUND(U141,4))</formula>
    </cfRule>
  </conditionalFormatting>
  <conditionalFormatting sqref="E150 E153 E156 U150:AF150 U153:AF153 U156:AF156">
    <cfRule type="expression" dxfId="135" priority="18" stopIfTrue="1">
      <formula>AND(ISNUMBER($H149),$H149&lt;&gt;0)</formula>
    </cfRule>
  </conditionalFormatting>
  <conditionalFormatting sqref="I150:S150 I153:S153 I156:S156">
    <cfRule type="expression" dxfId="134" priority="19" stopIfTrue="1">
      <formula>$M149=2</formula>
    </cfRule>
    <cfRule type="expression" dxfId="133" priority="20" stopIfTrue="1">
      <formula>AND($M149=1,$S149&lt;&gt;"")</formula>
    </cfRule>
  </conditionalFormatting>
  <conditionalFormatting sqref="I149:S149 I152:S152 I155:S155">
    <cfRule type="expression" dxfId="132" priority="21" stopIfTrue="1">
      <formula>$M149=2</formula>
    </cfRule>
    <cfRule type="expression" dxfId="131" priority="22" stopIfTrue="1">
      <formula>AND($M149=1,$S149&lt;&gt;"")</formula>
    </cfRule>
  </conditionalFormatting>
  <conditionalFormatting sqref="H150 H153 H156">
    <cfRule type="expression" dxfId="130" priority="17">
      <formula>AND(H149&lt;&gt;0,ISNUMBER(H149))</formula>
    </cfRule>
  </conditionalFormatting>
  <conditionalFormatting sqref="H149 H152 H155">
    <cfRule type="expression" dxfId="129" priority="16">
      <formula>AND(H149&lt;&gt;0,ISNUMBER(H149))</formula>
    </cfRule>
  </conditionalFormatting>
  <conditionalFormatting sqref="E149 E152 E155">
    <cfRule type="expression" dxfId="128" priority="15" stopIfTrue="1">
      <formula>E149&lt;&gt;0</formula>
    </cfRule>
  </conditionalFormatting>
  <conditionalFormatting sqref="E150 E153 E156">
    <cfRule type="expression" dxfId="127" priority="14">
      <formula>AND(_xlfn.SINGLE(ACOMPANHAMENTO)="BM",E150&gt;ROUND(E150,4))</formula>
    </cfRule>
  </conditionalFormatting>
  <conditionalFormatting sqref="U149:AF149 U152:AF152 U155:AF155">
    <cfRule type="expression" dxfId="126" priority="13" stopIfTrue="1">
      <formula>U149&lt;&gt;0</formula>
    </cfRule>
  </conditionalFormatting>
  <conditionalFormatting sqref="U150:AF150 U153:AF153 U156:AF156">
    <cfRule type="expression" dxfId="125" priority="12">
      <formula>AND(_xlfn.SINGLE(ACOMPANHAMENTO)="BM",U150&gt;ROUND(U150,4))</formula>
    </cfRule>
  </conditionalFormatting>
  <conditionalFormatting sqref="E159 E162 U159:AF159 U162:AF162">
    <cfRule type="expression" dxfId="124" priority="7" stopIfTrue="1">
      <formula>AND(ISNUMBER($H158),$H158&lt;&gt;0)</formula>
    </cfRule>
  </conditionalFormatting>
  <conditionalFormatting sqref="I159:S159 I162:S162">
    <cfRule type="expression" dxfId="123" priority="8" stopIfTrue="1">
      <formula>$M158=2</formula>
    </cfRule>
    <cfRule type="expression" dxfId="122" priority="9" stopIfTrue="1">
      <formula>AND($M158=1,$S158&lt;&gt;"")</formula>
    </cfRule>
  </conditionalFormatting>
  <conditionalFormatting sqref="I158:S158 I161:S161">
    <cfRule type="expression" dxfId="121" priority="10" stopIfTrue="1">
      <formula>$M158=2</formula>
    </cfRule>
    <cfRule type="expression" dxfId="120" priority="11" stopIfTrue="1">
      <formula>AND($M158=1,$S158&lt;&gt;"")</formula>
    </cfRule>
  </conditionalFormatting>
  <conditionalFormatting sqref="H159 H162">
    <cfRule type="expression" dxfId="119" priority="6">
      <formula>AND(H158&lt;&gt;0,ISNUMBER(H158))</formula>
    </cfRule>
  </conditionalFormatting>
  <conditionalFormatting sqref="H158 H161">
    <cfRule type="expression" dxfId="118" priority="5">
      <formula>AND(H158&lt;&gt;0,ISNUMBER(H158))</formula>
    </cfRule>
  </conditionalFormatting>
  <conditionalFormatting sqref="E158 E161">
    <cfRule type="expression" dxfId="117" priority="4" stopIfTrue="1">
      <formula>E158&lt;&gt;0</formula>
    </cfRule>
  </conditionalFormatting>
  <conditionalFormatting sqref="E159 E162">
    <cfRule type="expression" dxfId="116" priority="3">
      <formula>AND(_xlfn.SINGLE(ACOMPANHAMENTO)="BM",E159&gt;ROUND(E159,4))</formula>
    </cfRule>
  </conditionalFormatting>
  <conditionalFormatting sqref="U158:AF158 U161:AF161">
    <cfRule type="expression" dxfId="115" priority="2" stopIfTrue="1">
      <formula>U158&lt;&gt;0</formula>
    </cfRule>
  </conditionalFormatting>
  <conditionalFormatting sqref="U159:AF159 U162:AF162">
    <cfRule type="expression" dxfId="114"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680">
        <f>Import.CR</f>
        <v>0</v>
      </c>
      <c r="E4" s="680"/>
      <c r="F4" s="56">
        <f>Import.TransfereGOV</f>
        <v>0</v>
      </c>
      <c r="G4" s="680">
        <f>Import.Proponente</f>
        <v>0</v>
      </c>
      <c r="H4" s="680"/>
      <c r="I4" s="680"/>
      <c r="J4" s="778" t="str">
        <f>Import.Município</f>
        <v>Ivorá/RS</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Pavimentação Eliseu Didonet</v>
      </c>
      <c r="E7" s="680"/>
      <c r="F7" s="680"/>
      <c r="G7" s="680"/>
      <c r="H7" s="680"/>
      <c r="I7" s="680"/>
      <c r="J7" s="680"/>
      <c r="K7" s="680"/>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IF(OFFSET($A$24,-1,0)&lt;OFFSET(ORÇAMENTO!$E$22,-1,0),"ERRO: NÚMERO DE LINHAS DO QCI INSUFICIENTE. CLIQUE NO BOTÃO ADICIONAR LINHAS",
  "")))))))</f>
        <v>PREENCHIMENTO INCOMPLETO DA TABELA PRINCIPAL DO QCI</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-131840.62</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IF(NOT(ISBLANK(QCI.DescManual)),IF(QCI.Divisao="Calculado","Manual","SemiAuto"),IF(ISERROR(MATCH($A12,ORÇAMENTO!$E$15:$E$22,0)),"Branco","Automático"))</f>
        <v>Branco</v>
      </c>
      <c r="C12" t="str">
        <f ca="1">IF(O12&gt;0,"F","")</f>
        <v/>
      </c>
      <c r="D12" s="281">
        <f>ROW()-ROW($D$13)</f>
        <v>-1</v>
      </c>
      <c r="E12" s="118"/>
      <c r="F12" s="118"/>
      <c r="G12" s="163" t="str">
        <f ca="1">IF(OR($B12="Manual",$B12="SemiAuto"),QCI.DescManual,IF($B12="Automático",INDEX(ORÇAMENTO!$R$15:$R$22,MATCH($A12,ORÇAMENTO!$E$15:$E$22,0)),""))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IF($B12="Branco",0,IF(OR($B12="Manual",$B12="SemiAuto"),QCI.InvManual,INDEX(ORÇAMENTO!X$15:X$22,MATCH($A12,ORÇAMENTO!$E$15:$E$22,0))))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IF($B12="Branco",0,IF($B12="Manual",QCI.CPManual,IF($B12="SemiAuto",ROUND(QCI!$AA$3*QCI.InvManual,2),INDEX(ORÇAMENTO!$AA$15:$AA$22,MATCH($A12,ORÇAMENTO!$E$15:$E$22,0)))))</f>
        <v>0</v>
      </c>
      <c r="AB12" cm="1">
        <f t="array" aca="1" ref="AB12" ca="1">IF($B12="Branco",0,IF($B12="Manual",QCI.OutrosManual,IF($B12="SemiAuto",0,INDEX(ORÇAMENTO!$AB$15:$AB$22,MATCH($A12,ORÇAMENTO!$E$15:$E$22,0)))))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IF(NOT(ISBLANK(QCI.DescManual)),IF(QCI.Divisao="Calculado","Manual","SemiAuto"),IF(ISERROR(MATCH($A14,ORÇAMENTO!$E$15:$E$22,0)),"Branco","Automático"))</f>
        <v>Automático</v>
      </c>
      <c r="C14" t="str">
        <f t="shared" ref="C14:C22" ca="1" si="1">IF(O14&gt;0,"F","")</f>
        <v>F</v>
      </c>
      <c r="D14" s="281">
        <f t="shared" ref="D14:D22" si="2">ROW()-ROW($D$13)</f>
        <v>1</v>
      </c>
      <c r="E14" s="118"/>
      <c r="F14" s="118"/>
      <c r="G14" s="163" t="str">
        <f ca="1">IF(OR($B14="Manual",$B14="SemiAuto"),QCI.DescManual,IF($B14="Automático",INDEX(ORÇAMENTO!$R$15:$R$22,MATCH($A14,ORÇAMENTO!$E$15:$E$22,0)),""))</f>
        <v>Pavimentação em Paralelepípedos Eliseu Didonet</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131840.62</v>
      </c>
      <c r="N14" s="285">
        <f t="shared" ref="N14:N22" ca="1" si="5">ROUND($AB14,2)</f>
        <v>0</v>
      </c>
      <c r="O14" s="286" cm="1">
        <f t="array" aca="1" ref="O14" ca="1">IF($B14="Branco",0,IF(OR($B14="Manual",$B14="SemiAuto"),QCI.InvManual,INDEX(ORÇAMENTO!X$15:X$22,MATCH($A14,ORÇAMENTO!$E$15:$E$22,0))))</f>
        <v>131840.62</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IF($B14="Branco",0,IF($B14="Manual",QCI.CPManual,IF($B14="SemiAuto",ROUND(QCI!$AA$3*QCI.InvManual,2),INDEX(ORÇAMENTO!$AA$15:$AA$22,MATCH($A14,ORÇAMENTO!$E$15:$E$22,0)))))</f>
        <v>131840.62</v>
      </c>
      <c r="AB14" cm="1">
        <f t="array" aca="1" ref="AB14" ca="1">IF($B14="Branco",0,IF($B14="Manual",QCI.OutrosManual,IF($B14="SemiAuto",0,INDEX(ORÇAMENTO!$AB$15:$AB$22,MATCH($A14,ORÇAMENTO!$E$15:$E$22,0)))))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IF(NOT(ISBLANK(QCI.DescManual)),IF(QCI.Divisao="Calculado","Manual","SemiAuto"),IF(ISERROR(MATCH($A15,ORÇAMENTO!$E$15:$E$22,0)),"Branco","Automático"))</f>
        <v>Branco</v>
      </c>
      <c r="C15" t="str">
        <f t="shared" ca="1" si="1"/>
        <v/>
      </c>
      <c r="D15" s="281">
        <f t="shared" si="2"/>
        <v>2</v>
      </c>
      <c r="E15" s="118"/>
      <c r="F15" s="118"/>
      <c r="G15" s="163" t="str">
        <f ca="1">IF(OR($B15="Manual",$B15="SemiAuto"),QCI.DescManual,IF($B15="Automático",INDEX(ORÇAMENTO!$R$15:$R$22,MATCH($A15,ORÇAMENTO!$E$15:$E$22,0)),""))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IF($B15="Branco",0,IF(OR($B15="Manual",$B15="SemiAuto"),QCI.InvManual,INDEX(ORÇAMENTO!X$15:X$22,MATCH($A15,ORÇAMENTO!$E$15:$E$22,0))))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IF($B15="Branco",0,IF($B15="Manual",QCI.CPManual,IF($B15="SemiAuto",ROUND(QCI!$AA$3*QCI.InvManual,2),INDEX(ORÇAMENTO!$AA$15:$AA$22,MATCH($A15,ORÇAMENTO!$E$15:$E$22,0)))))</f>
        <v>0</v>
      </c>
      <c r="AB15" cm="1">
        <f t="array" aca="1" ref="AB15" ca="1">IF($B15="Branco",0,IF($B15="Manual",QCI.OutrosManual,IF($B15="SemiAuto",0,INDEX(ORÇAMENTO!$AB$15:$AB$22,MATCH($A15,ORÇAMENTO!$E$15:$E$22,0)))))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IF(NOT(ISBLANK(QCI.DescManual)),IF(QCI.Divisao="Calculado","Manual","SemiAuto"),IF(ISERROR(MATCH($A16,ORÇAMENTO!$E$15:$E$22,0)),"Branco","Automático"))</f>
        <v>Branco</v>
      </c>
      <c r="C16" t="str">
        <f t="shared" ca="1" si="1"/>
        <v/>
      </c>
      <c r="D16" s="281">
        <f t="shared" si="2"/>
        <v>3</v>
      </c>
      <c r="E16" s="118"/>
      <c r="F16" s="118"/>
      <c r="G16" s="163" t="str">
        <f ca="1">IF(OR($B16="Manual",$B16="SemiAuto"),QCI.DescManual,IF($B16="Automático",INDEX(ORÇAMENTO!$R$15:$R$22,MATCH($A16,ORÇAMENTO!$E$15:$E$22,0)),""))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IF($B16="Branco",0,IF(OR($B16="Manual",$B16="SemiAuto"),QCI.InvManual,INDEX(ORÇAMENTO!X$15:X$22,MATCH($A16,ORÇAMENTO!$E$15:$E$22,0))))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IF($B16="Branco",0,IF($B16="Manual",QCI.CPManual,IF($B16="SemiAuto",ROUND(QCI!$AA$3*QCI.InvManual,2),INDEX(ORÇAMENTO!$AA$15:$AA$22,MATCH($A16,ORÇAMENTO!$E$15:$E$22,0)))))</f>
        <v>0</v>
      </c>
      <c r="AB16" cm="1">
        <f t="array" aca="1" ref="AB16" ca="1">IF($B16="Branco",0,IF($B16="Manual",QCI.OutrosManual,IF($B16="SemiAuto",0,INDEX(ORÇAMENTO!$AB$15:$AB$22,MATCH($A16,ORÇAMENTO!$E$15:$E$22,0)))))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IF(NOT(ISBLANK(QCI.DescManual)),IF(QCI.Divisao="Calculado","Manual","SemiAuto"),IF(ISERROR(MATCH($A17,ORÇAMENTO!$E$15:$E$22,0)),"Branco","Automático"))</f>
        <v>Branco</v>
      </c>
      <c r="C17" t="str">
        <f t="shared" ca="1" si="1"/>
        <v/>
      </c>
      <c r="D17" s="281">
        <f t="shared" si="2"/>
        <v>4</v>
      </c>
      <c r="E17" s="118"/>
      <c r="F17" s="118"/>
      <c r="G17" s="163" t="str">
        <f ca="1">IF(OR($B17="Manual",$B17="SemiAuto"),QCI.DescManual,IF($B17="Automático",INDEX(ORÇAMENTO!$R$15:$R$22,MATCH($A17,ORÇAMENTO!$E$15:$E$22,0)),""))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IF($B17="Branco",0,IF(OR($B17="Manual",$B17="SemiAuto"),QCI.InvManual,INDEX(ORÇAMENTO!X$15:X$22,MATCH($A17,ORÇAMENTO!$E$15:$E$22,0))))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IF($B17="Branco",0,IF($B17="Manual",QCI.CPManual,IF($B17="SemiAuto",ROUND(QCI!$AA$3*QCI.InvManual,2),INDEX(ORÇAMENTO!$AA$15:$AA$22,MATCH($A17,ORÇAMENTO!$E$15:$E$22,0)))))</f>
        <v>0</v>
      </c>
      <c r="AB17" cm="1">
        <f t="array" aca="1" ref="AB17" ca="1">IF($B17="Branco",0,IF($B17="Manual",QCI.OutrosManual,IF($B17="SemiAuto",0,INDEX(ORÇAMENTO!$AB$15:$AB$22,MATCH($A17,ORÇAMENTO!$E$15:$E$22,0)))))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IF(NOT(ISBLANK(QCI.DescManual)),IF(QCI.Divisao="Calculado","Manual","SemiAuto"),IF(ISERROR(MATCH($A18,ORÇAMENTO!$E$15:$E$22,0)),"Branco","Automático"))</f>
        <v>Branco</v>
      </c>
      <c r="C18" t="str">
        <f t="shared" ca="1" si="1"/>
        <v/>
      </c>
      <c r="D18" s="281">
        <f t="shared" si="2"/>
        <v>5</v>
      </c>
      <c r="E18" s="118"/>
      <c r="F18" s="118"/>
      <c r="G18" s="163" t="str">
        <f ca="1">IF(OR($B18="Manual",$B18="SemiAuto"),QCI.DescManual,IF($B18="Automático",INDEX(ORÇAMENTO!$R$15:$R$22,MATCH($A18,ORÇAMENTO!$E$15:$E$22,0)),""))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IF($B18="Branco",0,IF(OR($B18="Manual",$B18="SemiAuto"),QCI.InvManual,INDEX(ORÇAMENTO!X$15:X$22,MATCH($A18,ORÇAMENTO!$E$15:$E$22,0))))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IF($B18="Branco",0,IF($B18="Manual",QCI.CPManual,IF($B18="SemiAuto",ROUND(QCI!$AA$3*QCI.InvManual,2),INDEX(ORÇAMENTO!$AA$15:$AA$22,MATCH($A18,ORÇAMENTO!$E$15:$E$22,0)))))</f>
        <v>0</v>
      </c>
      <c r="AB18" cm="1">
        <f t="array" aca="1" ref="AB18" ca="1">IF($B18="Branco",0,IF($B18="Manual",QCI.OutrosManual,IF($B18="SemiAuto",0,INDEX(ORÇAMENTO!$AB$15:$AB$22,MATCH($A18,ORÇAMENTO!$E$15:$E$22,0)))))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IF(NOT(ISBLANK(QCI.DescManual)),IF(QCI.Divisao="Calculado","Manual","SemiAuto"),IF(ISERROR(MATCH($A19,ORÇAMENTO!$E$15:$E$22,0)),"Branco","Automático"))</f>
        <v>Branco</v>
      </c>
      <c r="C19" t="str">
        <f t="shared" ca="1" si="1"/>
        <v/>
      </c>
      <c r="D19" s="281">
        <f t="shared" si="2"/>
        <v>6</v>
      </c>
      <c r="E19" s="118"/>
      <c r="F19" s="118"/>
      <c r="G19" s="163" t="str">
        <f ca="1">IF(OR($B19="Manual",$B19="SemiAuto"),QCI.DescManual,IF($B19="Automático",INDEX(ORÇAMENTO!$R$15:$R$22,MATCH($A19,ORÇAMENTO!$E$15:$E$22,0)),""))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IF($B19="Branco",0,IF(OR($B19="Manual",$B19="SemiAuto"),QCI.InvManual,INDEX(ORÇAMENTO!X$15:X$22,MATCH($A19,ORÇAMENTO!$E$15:$E$22,0))))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IF($B19="Branco",0,IF($B19="Manual",QCI.CPManual,IF($B19="SemiAuto",ROUND(QCI!$AA$3*QCI.InvManual,2),INDEX(ORÇAMENTO!$AA$15:$AA$22,MATCH($A19,ORÇAMENTO!$E$15:$E$22,0)))))</f>
        <v>0</v>
      </c>
      <c r="AB19" cm="1">
        <f t="array" aca="1" ref="AB19" ca="1">IF($B19="Branco",0,IF($B19="Manual",QCI.OutrosManual,IF($B19="SemiAuto",0,INDEX(ORÇAMENTO!$AB$15:$AB$22,MATCH($A19,ORÇAMENTO!$E$15:$E$22,0)))))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IF(NOT(ISBLANK(QCI.DescManual)),IF(QCI.Divisao="Calculado","Manual","SemiAuto"),IF(ISERROR(MATCH($A20,ORÇAMENTO!$E$15:$E$22,0)),"Branco","Automático"))</f>
        <v>Branco</v>
      </c>
      <c r="C20" t="str">
        <f t="shared" ca="1" si="1"/>
        <v/>
      </c>
      <c r="D20" s="281">
        <f t="shared" si="2"/>
        <v>7</v>
      </c>
      <c r="E20" s="118"/>
      <c r="F20" s="118"/>
      <c r="G20" s="163" t="str">
        <f ca="1">IF(OR($B20="Manual",$B20="SemiAuto"),QCI.DescManual,IF($B20="Automático",INDEX(ORÇAMENTO!$R$15:$R$22,MATCH($A20,ORÇAMENTO!$E$15:$E$22,0)),""))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IF($B20="Branco",0,IF(OR($B20="Manual",$B20="SemiAuto"),QCI.InvManual,INDEX(ORÇAMENTO!X$15:X$22,MATCH($A20,ORÇAMENTO!$E$15:$E$22,0))))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IF($B20="Branco",0,IF($B20="Manual",QCI.CPManual,IF($B20="SemiAuto",ROUND(QCI!$AA$3*QCI.InvManual,2),INDEX(ORÇAMENTO!$AA$15:$AA$22,MATCH($A20,ORÇAMENTO!$E$15:$E$22,0)))))</f>
        <v>0</v>
      </c>
      <c r="AB20" cm="1">
        <f t="array" aca="1" ref="AB20" ca="1">IF($B20="Branco",0,IF($B20="Manual",QCI.OutrosManual,IF($B20="SemiAuto",0,INDEX(ORÇAMENTO!$AB$15:$AB$22,MATCH($A20,ORÇAMENTO!$E$15:$E$22,0)))))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IF(NOT(ISBLANK(QCI.DescManual)),IF(QCI.Divisao="Calculado","Manual","SemiAuto"),IF(ISERROR(MATCH($A21,ORÇAMENTO!$E$15:$E$22,0)),"Branco","Automático"))</f>
        <v>Branco</v>
      </c>
      <c r="C21" t="str">
        <f t="shared" ca="1" si="1"/>
        <v/>
      </c>
      <c r="D21" s="281">
        <f t="shared" si="2"/>
        <v>8</v>
      </c>
      <c r="E21" s="118"/>
      <c r="F21" s="118"/>
      <c r="G21" s="163" t="str">
        <f ca="1">IF(OR($B21="Manual",$B21="SemiAuto"),QCI.DescManual,IF($B21="Automático",INDEX(ORÇAMENTO!$R$15:$R$22,MATCH($A21,ORÇAMENTO!$E$15:$E$22,0)),""))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IF($B21="Branco",0,IF(OR($B21="Manual",$B21="SemiAuto"),QCI.InvManual,INDEX(ORÇAMENTO!X$15:X$22,MATCH($A21,ORÇAMENTO!$E$15:$E$22,0))))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IF($B21="Branco",0,IF($B21="Manual",QCI.CPManual,IF($B21="SemiAuto",ROUND(QCI!$AA$3*QCI.InvManual,2),INDEX(ORÇAMENTO!$AA$15:$AA$22,MATCH($A21,ORÇAMENTO!$E$15:$E$22,0)))))</f>
        <v>0</v>
      </c>
      <c r="AB21" cm="1">
        <f t="array" aca="1" ref="AB21" ca="1">IF($B21="Branco",0,IF($B21="Manual",QCI.OutrosManual,IF($B21="SemiAuto",0,INDEX(ORÇAMENTO!$AB$15:$AB$22,MATCH($A21,ORÇAMENTO!$E$15:$E$22,0)))))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IF(NOT(ISBLANK(QCI.DescManual)),IF(QCI.Divisao="Calculado","Manual","SemiAuto"),IF(ISERROR(MATCH($A22,ORÇAMENTO!$E$15:$E$22,0)),"Branco","Automático"))</f>
        <v>Branco</v>
      </c>
      <c r="C22" t="str">
        <f t="shared" ca="1" si="1"/>
        <v/>
      </c>
      <c r="D22" s="281">
        <f t="shared" si="2"/>
        <v>9</v>
      </c>
      <c r="E22" s="118"/>
      <c r="F22" s="118"/>
      <c r="G22" s="163" t="str">
        <f ca="1">IF(OR($B22="Manual",$B22="SemiAuto"),QCI.DescManual,IF($B22="Automático",INDEX(ORÇAMENTO!$R$15:$R$22,MATCH($A22,ORÇAMENTO!$E$15:$E$22,0)),""))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IF($B22="Branco",0,IF(OR($B22="Manual",$B22="SemiAuto"),QCI.InvManual,INDEX(ORÇAMENTO!X$15:X$22,MATCH($A22,ORÇAMENTO!$E$15:$E$22,0))))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IF($B22="Branco",0,IF($B22="Manual",QCI.CPManual,IF($B22="SemiAuto",ROUND(QCI!$AA$3*QCI.InvManual,2),INDEX(ORÇAMENTO!$AA$15:$AA$22,MATCH($A22,ORÇAMENTO!$E$15:$E$22,0)))))</f>
        <v>0</v>
      </c>
      <c r="AB22" cm="1">
        <f t="array" aca="1" ref="AB22" ca="1">IF($B22="Branco",0,IF($B22="Manual",QCI.OutrosManual,IF($B22="SemiAuto",0,INDEX(ORÇAMENTO!$AB$15:$AB$22,MATCH($A22,ORÇAMENTO!$E$15:$E$22,0)))))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IF(NOT(ISBLANK(QCI.DescManual)),IF(QCI.Divisao="Calculado","Manual","SemiAuto"),IF(ISERROR(MATCH($A23,ORÇAMENTO!$E$15:$E$22,0)),"Branco","Automático"))</f>
        <v>Branco</v>
      </c>
      <c r="C23" t="str">
        <f ca="1">IF(O23&gt;0,"F","")</f>
        <v/>
      </c>
      <c r="D23" s="281">
        <f>ROW()-ROW($D$13)</f>
        <v>10</v>
      </c>
      <c r="E23" s="118"/>
      <c r="F23" s="118"/>
      <c r="G23" s="163" t="str">
        <f ca="1">IF(OR($B23="Manual",$B23="SemiAuto"),QCI.DescManual,IF($B23="Automático",INDEX(ORÇAMENTO!$R$15:$R$22,MATCH($A23,ORÇAMENTO!$E$15:$E$22,0)),""))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IF($B23="Branco",0,IF(OR($B23="Manual",$B23="SemiAuto"),QCI.InvManual,INDEX(ORÇAMENTO!X$15:X$22,MATCH($A23,ORÇAMENTO!$E$15:$E$22,0))))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IF($B23="Branco",0,IF($B23="Manual",QCI.CPManual,IF($B23="SemiAuto",ROUND(QCI!$AA$3*QCI.InvManual,2),INDEX(ORÇAMENTO!$AA$15:$AA$22,MATCH($A23,ORÇAMENTO!$E$15:$E$22,0)))))</f>
        <v>0</v>
      </c>
      <c r="AB23" cm="1">
        <f t="array" aca="1" ref="AB23" ca="1">IF($B23="Branco",0,IF($B23="Manual",QCI.OutrosManual,IF($B23="SemiAuto",0,INDEX(ORÇAMENTO!$AB$15:$AB$22,MATCH($A23,ORÇAMENTO!$E$15:$E$22,0)))))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131840.62</v>
      </c>
      <c r="N24" s="298">
        <f ca="1">SUM(N13:OFFSET(N24,-1,0))</f>
        <v>0</v>
      </c>
      <c r="O24" s="299">
        <f ca="1">SUM(O13:OFFSET(O24,-1,0))</f>
        <v>131840.62</v>
      </c>
      <c r="R24" s="300"/>
      <c r="T24" s="301"/>
      <c r="U24" s="302"/>
      <c r="V24" s="303"/>
      <c r="W24" s="304"/>
      <c r="X24" s="305"/>
      <c r="Z24" s="88">
        <f ca="1">SUMPRODUCT(ROUND(Z13:OFFSET(Z24,-1,0),2))</f>
        <v>0</v>
      </c>
      <c r="AA24" s="88">
        <f ca="1">SUMPRODUCT(ROUND(AA13:OFFSET(AA24,-1,0),2))</f>
        <v>131840.62</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Ivorá/RS</v>
      </c>
      <c r="E33" s="716"/>
      <c r="F33" s="716"/>
      <c r="I33" s="139"/>
      <c r="J33" s="139"/>
      <c r="K33" s="180"/>
      <c r="L33" s="180"/>
    </row>
    <row r="34" spans="4:12" x14ac:dyDescent="0.2">
      <c r="D34" s="9" t="s">
        <v>693</v>
      </c>
      <c r="I34" s="181" t="s">
        <v>832</v>
      </c>
      <c r="J34" s="181"/>
    </row>
    <row r="35" spans="4:12" x14ac:dyDescent="0.2">
      <c r="I35" s="77" t="str">
        <f>"Nome:" &amp;  " " &amp; DADOS!C28</f>
        <v xml:space="preserve">Nome: </v>
      </c>
    </row>
    <row r="36" spans="4:12" x14ac:dyDescent="0.2">
      <c r="D36" s="710">
        <f>DADOS!$C$25</f>
        <v>45957</v>
      </c>
      <c r="E36" s="710"/>
      <c r="F36" s="710"/>
      <c r="I36" s="77" t="str">
        <f>"Cargo:"  &amp; " " &amp; DADOS!C29</f>
        <v xml:space="preserve">Cargo: </v>
      </c>
    </row>
    <row r="37" spans="4:12" x14ac:dyDescent="0.2">
      <c r="D37" s="140" t="s">
        <v>694</v>
      </c>
      <c r="E37" s="1"/>
      <c r="F37" s="1"/>
      <c r="K37" s="77"/>
      <c r="L37" s="78"/>
    </row>
  </sheetData>
  <sheetProtection algorithmName="SHA-512" hashValue="iFpB3T+m99jkwWvIStcbdOR2Ocl5ZGkVj34aV7u/AHlgFjO4jZfD0y4YInamsnJosBzMKFPYtEuEM9EEf6oSgA==" saltValue="wtEiLNFBgZFvmcAy3Q5mkw=="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13" priority="961" stopIfTrue="1">
      <formula>OR($B12="Automático",$B12="Branco")</formula>
    </cfRule>
  </conditionalFormatting>
  <conditionalFormatting sqref="L12">
    <cfRule type="expression" dxfId="1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1" priority="963" stopIfTrue="1">
      <formula>OR($B12="Automático",$B12="Branco",$V12&lt;&gt;"Calculado")</formula>
    </cfRule>
  </conditionalFormatting>
  <conditionalFormatting sqref="M25">
    <cfRule type="expression" dxfId="110" priority="965" stopIfTrue="1">
      <formula>AND($G$9&lt;&gt;"",OR($M$25&lt;Import.CPMinPerc,$M$25&gt;Import.CPMaxPerc))</formula>
    </cfRule>
  </conditionalFormatting>
  <conditionalFormatting sqref="M24">
    <cfRule type="expression" dxfId="109" priority="966" stopIfTrue="1">
      <formula>AND($G$9&lt;&gt;"",$M$24&lt;Import.CPMinAbsoluta)</formula>
    </cfRule>
  </conditionalFormatting>
  <conditionalFormatting sqref="L10:M10">
    <cfRule type="cellIs" dxfId="108" priority="967" stopIfTrue="1" operator="lessThan">
      <formula>0</formula>
    </cfRule>
  </conditionalFormatting>
  <conditionalFormatting sqref="G12">
    <cfRule type="cellIs" dxfId="107" priority="968" stopIfTrue="1" operator="equal">
      <formula>"(digite a descrição aqui)"</formula>
    </cfRule>
  </conditionalFormatting>
  <conditionalFormatting sqref="T14:V22">
    <cfRule type="expression" dxfId="106" priority="5" stopIfTrue="1">
      <formula>OR($B14="Automático",$B14="Branco")</formula>
    </cfRule>
  </conditionalFormatting>
  <conditionalFormatting sqref="L14:L22">
    <cfRule type="expression" dxfId="1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4" priority="7" stopIfTrue="1">
      <formula>OR($B14="Automático",$B14="Branco",$V14&lt;&gt;"Calculado")</formula>
    </cfRule>
  </conditionalFormatting>
  <conditionalFormatting sqref="G14:G22">
    <cfRule type="cellIs" dxfId="103" priority="8" stopIfTrue="1" operator="equal">
      <formula>"(digite a descrição aqui)"</formula>
    </cfRule>
  </conditionalFormatting>
  <conditionalFormatting sqref="T23:V23">
    <cfRule type="expression" dxfId="102" priority="1" stopIfTrue="1">
      <formula>OR($B23="Automático",$B23="Branco")</formula>
    </cfRule>
  </conditionalFormatting>
  <conditionalFormatting sqref="L23">
    <cfRule type="expression" dxfId="1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0" priority="3" stopIfTrue="1">
      <formula>OR($B23="Automático",$B23="Branco",$V23&lt;&gt;"Calculado")</formula>
    </cfRule>
  </conditionalFormatting>
  <conditionalFormatting sqref="G23">
    <cfRule type="cellIs" dxfId="9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IF(AUTOEVENTO="Manual",OFFSET(EVENTOS!$D$15,$B1-$B$15,0),IF(B1&lt;=MAX(CÁLCULO!$M$15:$M$22),VLOOKUP($B1,CÁLCULO!$M$15:$N$22,2,FALSE),0))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(SELECIONAR)</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f>Import.CR</f>
        <v>0</v>
      </c>
      <c r="C7" s="763"/>
      <c r="D7" s="214">
        <f>Import.TransfereGOV</f>
        <v>0</v>
      </c>
      <c r="E7" s="42"/>
      <c r="H7" s="773">
        <f>Import.Proponente</f>
        <v>0</v>
      </c>
      <c r="I7" s="773"/>
      <c r="J7" s="773"/>
      <c r="K7" s="773"/>
      <c r="L7" s="773"/>
      <c r="M7" s="773"/>
      <c r="N7" s="773"/>
      <c r="O7" s="763" t="str">
        <f>Import.Apelido</f>
        <v>Pavimentação Eliseu Didonet</v>
      </c>
      <c r="P7" s="763"/>
      <c r="Q7" s="763"/>
      <c r="R7" s="763"/>
      <c r="S7" s="763"/>
      <c r="T7" s="763"/>
      <c r="U7" s="763"/>
      <c r="V7" s="763" cm="1">
        <f t="array" ref="V7">IF(TIPOORCAMENTO="Licitado",Import.empresa,Import.DescLote)</f>
        <v>0</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00/01/1900 a 00/01/1900</v>
      </c>
      <c r="O9" s="797"/>
      <c r="P9" s="797"/>
      <c r="Q9" s="797"/>
      <c r="R9" s="797"/>
      <c r="S9" s="797"/>
      <c r="T9" s="797"/>
      <c r="U9" s="268"/>
      <c r="X9" s="267" t="s">
        <v>835</v>
      </c>
      <c r="Y9" s="795">
        <f ca="1">OFFSET($I$69,1+8*(ROUNDUP(($J$9-0)/((COLUMN($AG$14)-COLUMN($G$14)-1)/25*12),0)-1),ROUNDDOWN((($J$9-0)-OFFSET($I$69,8*(ROUNDUP(($J$9-0)/((COLUMN($AG$14)-COLUMN($G$14)-1)/25*12),0)-1),0))*(2+1/12),0))</f>
        <v>0</v>
      </c>
      <c r="Z9" s="795"/>
      <c r="AD9" s="267" t="s">
        <v>836</v>
      </c>
      <c r="AE9" s="795">
        <f ca="1">OFFSET($I$69,3+8*(ROUNDUP(($J$9-0)/((COLUMN($AG$14)-COLUMN($G$14)-1)/25*12),0)-1),ROUNDDOWN((($J$9-0)-OFFSET($I$69,8*(ROUNDUP(($J$9-0)/((COLUMN($AG$14)-COLUMN($G$14)-1)/25*12),0)-1),0))*(2+1/12),0))</f>
        <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t="str" cm="1">
        <f t="array" aca="1" ref="F11" ca="1">IF(F$12&gt;CÁLCULO.NúmeroDeFrentes,"",OFFSET(CÁLCULO!$P$12,0,F$12))</f>
        <v>Mês 1</v>
      </c>
      <c r="H11" s="252" t="str" cm="1">
        <f t="array" aca="1" ref="H11" ca="1">IF(H$12&gt;CÁLCULO.NúmeroDeFrentes,"",OFFSET(CÁLCULO!$P$12,0,H$12))</f>
        <v>Mês 1</v>
      </c>
      <c r="I11" s="252" t="str" cm="1">
        <f t="array" aca="1" ref="I11" ca="1">IF(I$12&gt;CÁLCULO.NúmeroDeFrentes,"",OFFSET(CÁLCULO!$P$12,0,I$12))</f>
        <v>Mês 2</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IF(AUTOEVENTO="Manual",OFFSET(EVENTOS!$D$15,$B16-$B$15,0),IF(B16&lt;=MAX(CÁLCULO!$M$15:$M$22),VLOOKUP($B16,CÁLCULO!$M$15:$N$22,2,FALSE),0))</f>
        <v>Administração Local</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IF(AUTOEVENTO="Manual",OFFSET(EVENTOS!$D$15,$B17-$B$15,0),IF(B17&lt;=MAX(CÁLCULO!$M$15:$M$22),VLOOKUP($B17,CÁLCULO!$M$15:$N$22,2,FALSE),0))</f>
        <v xml:space="preserve">Pavimentação </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
      </c>
      <c r="B18" s="247">
        <f t="shared" ca="1" si="2"/>
        <v>3</v>
      </c>
      <c r="C18" s="784">
        <f ca="1">IF(AUTOEVENTO="Manual",OFFSET(EVENTOS!$D$15,$B18-$B$15,0),IF(B18&lt;=MAX(CÁLCULO!$M$15:$M$22),VLOOKUP($B18,CÁLCULO!$M$15:$N$22,2,FALSE),0))</f>
        <v>0</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
      </c>
      <c r="B19" s="247">
        <f t="shared" ca="1" si="2"/>
        <v>4</v>
      </c>
      <c r="C19" s="784">
        <f ca="1">IF(AUTOEVENTO="Manual",OFFSET(EVENTOS!$D$15,$B19-$B$15,0),IF(B19&lt;=MAX(CÁLCULO!$M$15:$M$22),VLOOKUP($B19,CÁLCULO!$M$15:$N$22,2,FALSE),0))</f>
        <v>0</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
      </c>
      <c r="B20" s="247">
        <f t="shared" ca="1" si="2"/>
        <v>5</v>
      </c>
      <c r="C20" s="784">
        <f ca="1">IF(AUTOEVENTO="Manual",OFFSET(EVENTOS!$D$15,$B20-$B$15,0),IF(B20&lt;=MAX(CÁLCULO!$M$15:$M$22),VLOOKUP($B20,CÁLCULO!$M$15:$N$22,2,FALSE),0))</f>
        <v>0</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
      </c>
      <c r="B21" s="247">
        <f t="shared" ca="1" si="2"/>
        <v>6</v>
      </c>
      <c r="C21" s="784">
        <f ca="1">IF(AUTOEVENTO="Manual",OFFSET(EVENTOS!$D$15,$B21-$B$15,0),IF(B21&lt;=MAX(CÁLCULO!$M$15:$M$22),VLOOKUP($B21,CÁLCULO!$M$15:$N$22,2,FALSE),0))</f>
        <v>0</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84">
        <f ca="1">IF(AUTOEVENTO="Manual",OFFSET(EVENTOS!$D$15,$B22-$B$15,0),IF(B22&lt;=MAX(CÁLCULO!$M$15:$M$22),VLOOKUP($B22,CÁLCULO!$M$15:$N$22,2,FALSE),0))</f>
        <v>0</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84">
        <f ca="1">IF(AUTOEVENTO="Manual",OFFSET(EVENTOS!$D$15,$B23-$B$15,0),IF(B23&lt;=MAX(CÁLCULO!$M$15:$M$22),VLOOKUP($B23,CÁLCULO!$M$15:$N$22,2,FALSE),0))</f>
        <v>0</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84">
        <f ca="1">IF(AUTOEVENTO="Manual",OFFSET(EVENTOS!$D$15,$B24-$B$15,0),IF(B24&lt;=MAX(CÁLCULO!$M$15:$M$22),VLOOKUP($B24,CÁLCULO!$M$15:$N$22,2,FALSE),0))</f>
        <v>0</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84">
        <f ca="1">IF(AUTOEVENTO="Manual",OFFSET(EVENTOS!$D$15,$B25-$B$15,0),IF(B25&lt;=MAX(CÁLCULO!$M$15:$M$22),VLOOKUP($B25,CÁLCULO!$M$15:$N$22,2,FALSE),0))</f>
        <v>0</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84">
        <f ca="1">IF(AUTOEVENTO="Manual",OFFSET(EVENTOS!$D$15,$B26-$B$15,0),IF(B26&lt;=MAX(CÁLCULO!$M$15:$M$22),VLOOKUP($B26,CÁLCULO!$M$15:$N$22,2,FALSE),0))</f>
        <v>0</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IF(AUTOEVENTO="Manual",OFFSET(EVENTOS!$D$15,$B27-$B$15,0),IF(B27&lt;=MAX(CÁLCULO!$M$15:$M$22),VLOOKUP($B27,CÁLCULO!$M$15:$N$22,2,FALSE),0))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IF(AUTOEVENTO="Manual",OFFSET(EVENTOS!$D$15,$B28-$B$15,0),IF(B28&lt;=MAX(CÁLCULO!$M$15:$M$22),VLOOKUP($B28,CÁLCULO!$M$15:$N$22,2,FALSE),0))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IF(AUTOEVENTO="Manual",OFFSET(EVENTOS!$D$15,$B29-$B$15,0),IF(B29&lt;=MAX(CÁLCULO!$M$15:$M$22),VLOOKUP($B29,CÁLCULO!$M$15:$N$22,2,FALSE),0))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IF(AUTOEVENTO="Manual",OFFSET(EVENTOS!$D$15,$B30-$B$15,0),IF(B30&lt;=MAX(CÁLCULO!$M$15:$M$22),VLOOKUP($B30,CÁLCULO!$M$15:$N$22,2,FALSE),0))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IF(AUTOEVENTO="Manual",OFFSET(EVENTOS!$D$15,$B31-$B$15,0),IF(B31&lt;=MAX(CÁLCULO!$M$15:$M$22),VLOOKUP($B31,CÁLCULO!$M$15:$N$22,2,FALSE),0))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IF(AUTOEVENTO="Manual",OFFSET(EVENTOS!$D$15,$B32-$B$15,0),IF(B32&lt;=MAX(CÁLCULO!$M$15:$M$22),VLOOKUP($B32,CÁLCULO!$M$15:$N$22,2,FALSE),0))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IF(AUTOEVENTO="Manual",OFFSET(EVENTOS!$D$15,$B33-$B$15,0),IF(B33&lt;=MAX(CÁLCULO!$M$15:$M$22),VLOOKUP($B33,CÁLCULO!$M$15:$N$22,2,FALSE),0))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IF(AUTOEVENTO="Manual",OFFSET(EVENTOS!$D$15,$B34-$B$15,0),IF(B34&lt;=MAX(CÁLCULO!$M$15:$M$22),VLOOKUP($B34,CÁLCULO!$M$15:$N$22,2,FALSE),0))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IF(AUTOEVENTO="Manual",OFFSET(EVENTOS!$D$15,$B35-$B$15,0),IF(B35&lt;=MAX(CÁLCULO!$M$15:$M$22),VLOOKUP($B35,CÁLCULO!$M$15:$N$22,2,FALSE),0))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IF(AUTOEVENTO="Manual",OFFSET(EVENTOS!$D$15,$B36-$B$15,0),IF(B36&lt;=MAX(CÁLCULO!$M$15:$M$22),VLOOKUP($B36,CÁLCULO!$M$15:$N$22,2,FALSE),0))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IF(AUTOEVENTO="Manual",OFFSET(EVENTOS!$D$15,$B37-$B$15,0),IF(B37&lt;=MAX(CÁLCULO!$M$15:$M$22),VLOOKUP($B37,CÁLCULO!$M$15:$N$22,2,FALSE),0))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IF(AUTOEVENTO="Manual",OFFSET(EVENTOS!$D$15,$B38-$B$15,0),IF(B38&lt;=MAX(CÁLCULO!$M$15:$M$22),VLOOKUP($B38,CÁLCULO!$M$15:$N$22,2,FALSE),0))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IF(AUTOEVENTO="Manual",OFFSET(EVENTOS!$D$15,$B39-$B$15,0),IF(B39&lt;=MAX(CÁLCULO!$M$15:$M$22),VLOOKUP($B39,CÁLCULO!$M$15:$N$22,2,FALSE),0))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IF(AUTOEVENTO="Manual",OFFSET(EVENTOS!$D$15,$B40-$B$15,0),IF(B40&lt;=MAX(CÁLCULO!$M$15:$M$22),VLOOKUP($B40,CÁLCULO!$M$15:$N$22,2,FALSE),0))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IF(AUTOEVENTO="Manual",OFFSET(EVENTOS!$D$15,$B41-$B$15,0),IF(B41&lt;=MAX(CÁLCULO!$M$15:$M$22),VLOOKUP($B41,CÁLCULO!$M$15:$N$22,2,FALSE),0))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IF(AUTOEVENTO="Manual",OFFSET(EVENTOS!$D$15,$B42-$B$15,0),IF(B42&lt;=MAX(CÁLCULO!$M$15:$M$22),VLOOKUP($B42,CÁLCULO!$M$15:$N$22,2,FALSE),0))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IF(AUTOEVENTO="Manual",OFFSET(EVENTOS!$D$15,$B43-$B$15,0),IF(B43&lt;=MAX(CÁLCULO!$M$15:$M$22),VLOOKUP($B43,CÁLCULO!$M$15:$N$22,2,FALSE),0))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IF(AUTOEVENTO="Manual",OFFSET(EVENTOS!$D$15,$B44-$B$15,0),IF(B44&lt;=MAX(CÁLCULO!$M$15:$M$22),VLOOKUP($B44,CÁLCULO!$M$15:$N$22,2,FALSE),0))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IF(AUTOEVENTO="Manual",OFFSET(EVENTOS!$D$15,$B45-$B$15,0),IF(B45&lt;=MAX(CÁLCULO!$M$15:$M$22),VLOOKUP($B45,CÁLCULO!$M$15:$N$22,2,FALSE),0))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IF(AUTOEVENTO="Manual",OFFSET(EVENTOS!$D$15,$B46-$B$15,0),IF(B46&lt;=MAX(CÁLCULO!$M$15:$M$22),VLOOKUP($B46,CÁLCULO!$M$15:$N$22,2,FALSE),0))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IF(AUTOEVENTO="Manual",OFFSET(EVENTOS!$D$15,$B47-$B$15,0),IF(B47&lt;=MAX(CÁLCULO!$M$15:$M$22),VLOOKUP($B47,CÁLCULO!$M$15:$N$22,2,FALSE),0))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IF(AUTOEVENTO="Manual",OFFSET(EVENTOS!$D$15,$B48-$B$15,0),IF(B48&lt;=MAX(CÁLCULO!$M$15:$M$22),VLOOKUP($B48,CÁLCULO!$M$15:$N$22,2,FALSE),0))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IF(AUTOEVENTO="Manual",OFFSET(EVENTOS!$D$15,$B49-$B$15,0),IF(B49&lt;=MAX(CÁLCULO!$M$15:$M$22),VLOOKUP($B49,CÁLCULO!$M$15:$N$22,2,FALSE),0))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IF(AUTOEVENTO="Manual",OFFSET(EVENTOS!$D$15,$B50-$B$15,0),IF(B50&lt;=MAX(CÁLCULO!$M$15:$M$22),VLOOKUP($B50,CÁLCULO!$M$15:$N$22,2,FALSE),0))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IF(AUTOEVENTO="Manual",OFFSET(EVENTOS!$D$15,$B51-$B$15,0),IF(B51&lt;=MAX(CÁLCULO!$M$15:$M$22),VLOOKUP($B51,CÁLCULO!$M$15:$N$22,2,FALSE),0))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IF(AUTOEVENTO="Manual",OFFSET(EVENTOS!$D$15,$B52-$B$15,0),IF(B52&lt;=MAX(CÁLCULO!$M$15:$M$22),VLOOKUP($B52,CÁLCULO!$M$15:$N$22,2,FALSE),0))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IF(AUTOEVENTO="Manual",OFFSET(EVENTOS!$D$15,$B53-$B$15,0),IF(B53&lt;=MAX(CÁLCULO!$M$15:$M$22),VLOOKUP($B53,CÁLCULO!$M$15:$N$22,2,FALSE),0))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IF(AUTOEVENTO="Manual",OFFSET(EVENTOS!$D$15,$B54-$B$15,0),IF(B54&lt;=MAX(CÁLCULO!$M$15:$M$22),VLOOKUP($B54,CÁLCULO!$M$15:$N$22,2,FALSE),0))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IF(AUTOEVENTO="Manual",OFFSET(EVENTOS!$D$15,$B55-$B$15,0),IF(B55&lt;=MAX(CÁLCULO!$M$15:$M$22),VLOOKUP($B55,CÁLCULO!$M$15:$N$22,2,FALSE),0))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IF(AUTOEVENTO="Manual",OFFSET(EVENTOS!$D$15,$B56-$B$15,0),IF(B56&lt;=MAX(CÁLCULO!$M$15:$M$22),VLOOKUP($B56,CÁLCULO!$M$15:$N$22,2,FALSE),0))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IF(AUTOEVENTO="Manual",OFFSET(EVENTOS!$D$15,$B57-$B$15,0),IF(B57&lt;=MAX(CÁLCULO!$M$15:$M$22),VLOOKUP($B57,CÁLCULO!$M$15:$N$22,2,FALSE),0))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IF(AUTOEVENTO="Manual",OFFSET(EVENTOS!$D$15,$B58-$B$15,0),IF(B58&lt;=MAX(CÁLCULO!$M$15:$M$22),VLOOKUP($B58,CÁLCULO!$M$15:$N$22,2,FALSE),0))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IF(AUTOEVENTO="Manual",OFFSET(EVENTOS!$D$15,$B59-$B$15,0),IF(B59&lt;=MAX(CÁLCULO!$M$15:$M$22),VLOOKUP($B59,CÁLCULO!$M$15:$N$22,2,FALSE),0))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IF(AUTOEVENTO="Manual",OFFSET(EVENTOS!$D$15,$B60-$B$15,0),IF(B60&lt;=MAX(CÁLCULO!$M$15:$M$22),VLOOKUP($B60,CÁLCULO!$M$15:$N$22,2,FALSE),0))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IF(AUTOEVENTO="Manual",OFFSET(EVENTOS!$D$15,$B61-$B$15,0),IF(B61&lt;=MAX(CÁLCULO!$M$15:$M$22),VLOOKUP($B61,CÁLCULO!$M$15:$N$22,2,FALSE),0))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IF(AUTOEVENTO="Manual",OFFSET(EVENTOS!$D$15,$B62-$B$15,0),IF(B62&lt;=MAX(CÁLCULO!$M$15:$M$22),VLOOKUP($B62,CÁLCULO!$M$15:$N$22,2,FALSE),0))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IF(AUTOEVENTO="Manual",OFFSET(EVENTOS!$D$15,$B63-$B$15,0),IF(B63&lt;=MAX(CÁLCULO!$M$15:$M$22),VLOOKUP($B63,CÁLCULO!$M$15:$N$22,2,FALSE),0))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IF(AUTOEVENTO="Manual",OFFSET(EVENTOS!$D$15,$B64-$B$15,0),IF(B64&lt;=MAX(CÁLCULO!$M$15:$M$22),VLOOKUP($B64,CÁLCULO!$M$15:$N$22,2,FALSE),0))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f ca="1">ROUND(I71,2)/ORÇAMENTO!$X$15</f>
        <v>0</v>
      </c>
      <c r="J70" s="801"/>
      <c r="K70" s="790">
        <f ca="1">ROUND(K71,2)/ORÇAMENTO!$X$15</f>
        <v>0</v>
      </c>
      <c r="L70" s="790"/>
      <c r="M70" s="790">
        <f ca="1">ROUND(M71,2)/ORÇAMENTO!$X$15</f>
        <v>0</v>
      </c>
      <c r="N70" s="790"/>
      <c r="O70" s="790">
        <f ca="1">ROUND(O71,2)/ORÇAMENTO!$X$15</f>
        <v>0</v>
      </c>
      <c r="P70" s="790"/>
      <c r="Q70" s="790">
        <f ca="1">ROUND(Q71,2)/ORÇAMENTO!$X$15</f>
        <v>0</v>
      </c>
      <c r="R70" s="790"/>
      <c r="S70" s="790">
        <f ca="1">ROUND(S71,2)/ORÇAMENTO!$X$15</f>
        <v>0</v>
      </c>
      <c r="T70" s="790"/>
      <c r="U70" s="790">
        <f ca="1">ROUND(U71,2)/ORÇAMENTO!$X$15</f>
        <v>0</v>
      </c>
      <c r="V70" s="790"/>
      <c r="W70" s="790">
        <f ca="1">ROUND(W71,2)/ORÇAMENTO!$X$15</f>
        <v>0</v>
      </c>
      <c r="X70" s="790"/>
      <c r="Y70" s="790">
        <f ca="1">ROUND(Y71,2)/ORÇAMENTO!$X$15</f>
        <v>0</v>
      </c>
      <c r="Z70" s="790"/>
      <c r="AA70" s="790">
        <f ca="1">ROUND(AA71,2)/ORÇAMENTO!$X$15</f>
        <v>0</v>
      </c>
      <c r="AB70" s="790"/>
      <c r="AC70" s="790">
        <f ca="1">ROUND(AC71,2)/ORÇAMENTO!$X$15</f>
        <v>0</v>
      </c>
      <c r="AD70" s="790"/>
      <c r="AE70" s="790">
        <f ca="1">ROUND(AE71,2)/ORÇAMENTO!$X$15</f>
        <v>0</v>
      </c>
      <c r="AF70" s="790"/>
    </row>
    <row r="71" spans="1:32" x14ac:dyDescent="0.2">
      <c r="A71" s="7" t="s">
        <v>536</v>
      </c>
      <c r="D71" s="799"/>
      <c r="H71" s="11" t="s">
        <v>782</v>
      </c>
      <c r="I71" s="786" cm="1">
        <f t="array" aca="1" ref="I71" ca="1">IF(I69=1,I73,ROUND(I73,2)-ROUND(SUMIF(CÁLCULO!$AX$15:$BH$22,"&lt;="&amp;PLE!I69-1,CÁLCULO!$AB$15:$AL$22)*IF(AdmLocal="Automática",(1+CÁLCULO.TotalAdmLocal/(ORÇAMENTO!$X$15-CÁLCULO.TotalAdmLocal)),1),2))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f ca="1">ROUND(I73,2)/ORÇAMENTO!$X$15</f>
        <v>0</v>
      </c>
      <c r="J72" s="803"/>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99"/>
      <c r="H73" s="11" t="s">
        <v>782</v>
      </c>
      <c r="I73" s="802" cm="1">
        <f t="array" aca="1" ref="I73" ca="1">SUMIF(CÁLCULO!$AX$15:$BH$22,"&lt;="&amp;PLE!I69,CÁLCULO!$AB$15:$AL$22)*IF(AdmLocal="Automática",(1+CÁLCULO.TotalAdmLocal/(ORÇAMENTO!$X$15-CÁLCULO.TotalAdmLocal)),1)</f>
        <v>0</v>
      </c>
      <c r="J73" s="802"/>
      <c r="K73" s="786" cm="1">
        <f t="array" aca="1" ref="K73" ca="1">SUMIF(CÁLCULO!$AX$15:$BH$22,"&lt;="&amp;PLE!K69,CÁLCULO!$AB$15:$AL$22)*IF(AdmLocal="Automática",(1+CÁLCULO.TotalAdmLocal/(ORÇAMENTO!$X$15-CÁLCULO.TotalAdmLocal)),1)</f>
        <v>0</v>
      </c>
      <c r="L73" s="786"/>
      <c r="M73" s="786" cm="1">
        <f t="array" aca="1" ref="M73" ca="1">SUMIF(CÁLCULO!$AX$15:$BH$22,"&lt;="&amp;PLE!M69,CÁLCULO!$AB$15:$AL$22)*IF(AdmLocal="Automática",(1+CÁLCULO.TotalAdmLocal/(ORÇAMENTO!$X$15-CÁLCULO.TotalAdmLocal)),1)</f>
        <v>0</v>
      </c>
      <c r="N73" s="786"/>
      <c r="O73" s="786" cm="1">
        <f t="array" aca="1" ref="O73" ca="1">SUMIF(CÁLCULO!$AX$15:$BH$22,"&lt;="&amp;PLE!O69,CÁLCULO!$AB$15:$AL$22)*IF(AdmLocal="Automática",(1+CÁLCULO.TotalAdmLocal/(ORÇAMENTO!$X$15-CÁLCULO.TotalAdmLocal)),1)</f>
        <v>0</v>
      </c>
      <c r="P73" s="786"/>
      <c r="Q73" s="786" cm="1">
        <f t="array" aca="1" ref="Q73" ca="1">SUMIF(CÁLCULO!$AX$15:$BH$22,"&lt;="&amp;PLE!Q69,CÁLCULO!$AB$15:$AL$22)*IF(AdmLocal="Automática",(1+CÁLCULO.TotalAdmLocal/(ORÇAMENTO!$X$15-CÁLCULO.TotalAdmLocal)),1)</f>
        <v>0</v>
      </c>
      <c r="R73" s="786"/>
      <c r="S73" s="786" cm="1">
        <f t="array" aca="1" ref="S73" ca="1">SUMIF(CÁLCULO!$AX$15:$BH$22,"&lt;="&amp;PLE!S69,CÁLCULO!$AB$15:$AL$22)*IF(AdmLocal="Automática",(1+CÁLCULO.TotalAdmLocal/(ORÇAMENTO!$X$15-CÁLCULO.TotalAdmLocal)),1)</f>
        <v>0</v>
      </c>
      <c r="T73" s="786"/>
      <c r="U73" s="786" cm="1">
        <f t="array" aca="1" ref="U73" ca="1">SUMIF(CÁLCULO!$AX$15:$BH$22,"&lt;="&amp;PLE!U69,CÁLCULO!$AB$15:$AL$22)*IF(AdmLocal="Automática",(1+CÁLCULO.TotalAdmLocal/(ORÇAMENTO!$X$15-CÁLCULO.TotalAdmLocal)),1)</f>
        <v>0</v>
      </c>
      <c r="V73" s="786"/>
      <c r="W73" s="786" cm="1">
        <f t="array" aca="1" ref="W73" ca="1">SUMIF(CÁLCULO!$AX$15:$BH$22,"&lt;="&amp;PLE!W69,CÁLCULO!$AB$15:$AL$22)*IF(AdmLocal="Automática",(1+CÁLCULO.TotalAdmLocal/(ORÇAMENTO!$X$15-CÁLCULO.TotalAdmLocal)),1)</f>
        <v>0</v>
      </c>
      <c r="X73" s="786"/>
      <c r="Y73" s="786" cm="1">
        <f t="array" aca="1" ref="Y73" ca="1">SUMIF(CÁLCULO!$AX$15:$BH$22,"&lt;="&amp;PLE!Y69,CÁLCULO!$AB$15:$AL$22)*IF(AdmLocal="Automática",(1+CÁLCULO.TotalAdmLocal/(ORÇAMENTO!$X$15-CÁLCULO.TotalAdmLocal)),1)</f>
        <v>0</v>
      </c>
      <c r="Z73" s="786"/>
      <c r="AA73" s="786" cm="1">
        <f t="array" aca="1" ref="AA73" ca="1">SUMIF(CÁLCULO!$AX$15:$BH$22,"&lt;="&amp;PLE!AA69,CÁLCULO!$AB$15:$AL$22)*IF(AdmLocal="Automática",(1+CÁLCULO.TotalAdmLocal/(ORÇAMENTO!$X$15-CÁLCULO.TotalAdmLocal)),1)</f>
        <v>0</v>
      </c>
      <c r="AB73" s="786"/>
      <c r="AC73" s="786" cm="1">
        <f t="array" aca="1" ref="AC73" ca="1">SUMIF(CÁLCULO!$AX$15:$BH$22,"&lt;="&amp;PLE!AC69,CÁLCULO!$AB$15:$AL$22)*IF(AdmLocal="Automática",(1+CÁLCULO.TotalAdmLocal/(ORÇAMENTO!$X$15-CÁLCULO.TotalAdmLocal)),1)</f>
        <v>0</v>
      </c>
      <c r="AD73" s="786"/>
      <c r="AE73" s="786" cm="1">
        <f t="array" aca="1" ref="AE73" ca="1">SUMIF(CÁLCULO!$AX$15:$BH$22,"&lt;="&amp;PLE!AE69,CÁLCULO!$AB$15:$AL$22)*IF(AdmLocal="Automática",(1+CÁLCULO.TotalAdmLocal/(ORÇAMENTO!$X$15-CÁLCULO.TotalAdmLocal)),1)</f>
        <v>0</v>
      </c>
      <c r="AF73" s="786"/>
    </row>
    <row r="74" spans="1:32" ht="12.75" customHeight="1" x14ac:dyDescent="0.2">
      <c r="A74" s="7"/>
      <c r="D74" s="552" t="s">
        <v>784</v>
      </c>
      <c r="H74" s="551" t="s">
        <v>781</v>
      </c>
      <c r="I74" s="744" t="str">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04"/>
      <c r="J76" s="804"/>
    </row>
    <row r="77" spans="1:32" ht="15" x14ac:dyDescent="0.25">
      <c r="A77" s="7" t="s">
        <v>536</v>
      </c>
      <c r="B77" s="716" t="str">
        <f>Import.Município</f>
        <v>Ivorá/RS</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6sJ7hSHpmzCOS0ZhBSNRvXMB4jkPJb6YdhyzSn9laX3DcIpQ+oPJ/a6QT1BABIiZ3OR3ODDlgCdAXCqnIv5zDw==" saltValue="gYLTYQwpugvSzgo5AwNPaQ=="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98" priority="2721" stopIfTrue="1">
      <formula>IF(OR(ACOMPANHAMENTO="BM",F$12&gt;CÁLCULO.NúmeroDeFrentes),TRUE,PLE.ValorDoEvento=0)</formula>
    </cfRule>
    <cfRule type="cellIs" dxfId="97" priority="2722" stopIfTrue="1" operator="equal">
      <formula>$J$9</formula>
    </cfRule>
  </conditionalFormatting>
  <conditionalFormatting sqref="I70:AF70">
    <cfRule type="expression" dxfId="96" priority="2723" stopIfTrue="1">
      <formula>I69=$J$9</formula>
    </cfRule>
  </conditionalFormatting>
  <conditionalFormatting sqref="I71:AF71">
    <cfRule type="expression" dxfId="95" priority="2724" stopIfTrue="1">
      <formula>I69=$J$9</formula>
    </cfRule>
  </conditionalFormatting>
  <conditionalFormatting sqref="I72:AF72">
    <cfRule type="expression" dxfId="94" priority="2725" stopIfTrue="1">
      <formula>I69=$J$9</formula>
    </cfRule>
  </conditionalFormatting>
  <conditionalFormatting sqref="I73:AF73">
    <cfRule type="expression" dxfId="93" priority="2726" stopIfTrue="1">
      <formula>I69=$J$9</formula>
    </cfRule>
  </conditionalFormatting>
  <conditionalFormatting sqref="I69:J69">
    <cfRule type="cellIs" dxfId="92" priority="2720" stopIfTrue="1" operator="notEqual">
      <formula>1</formula>
    </cfRule>
  </conditionalFormatting>
  <conditionalFormatting sqref="H1:AF1">
    <cfRule type="expression" dxfId="91" priority="2738" stopIfTrue="1">
      <formula>IF(OR(ACOMPANHAMENTO="BM",TIPOORCAMENTO="Proposto",H$12&gt;CÁLCULO.NúmeroDeFrentes),TRUE,PLE.ValorDoEvento=0)</formula>
    </cfRule>
    <cfRule type="cellIs" dxfId="90" priority="2739" stopIfTrue="1" operator="equal">
      <formula>$J$9</formula>
    </cfRule>
  </conditionalFormatting>
  <conditionalFormatting sqref="AE6:AE7">
    <cfRule type="expression" dxfId="89" priority="2727" stopIfTrue="1">
      <formula>TIPOORCAMENTO&lt;&gt;"Licitado"</formula>
    </cfRule>
  </conditionalFormatting>
  <conditionalFormatting sqref="N9:T9">
    <cfRule type="expression" dxfId="88" priority="2728" stopIfTrue="1">
      <formula>COLUMN(N9)&gt;COLUMN($AF$12)</formula>
    </cfRule>
    <cfRule type="expression" dxfId="87" priority="2729" stopIfTrue="1">
      <formula>$N$9="DIGITE A DATA DA MEDIÇÃO"</formula>
    </cfRule>
  </conditionalFormatting>
  <conditionalFormatting sqref="I9:M9 U9:AF9">
    <cfRule type="expression" dxfId="86" priority="2730" stopIfTrue="1">
      <formula>COLUMN(I9)&gt;COLUMN($AF$12)</formula>
    </cfRule>
  </conditionalFormatting>
  <conditionalFormatting sqref="K70:AF73">
    <cfRule type="expression" dxfId="85" priority="1736" stopIfTrue="1">
      <formula>I$72=100%</formula>
    </cfRule>
  </conditionalFormatting>
  <conditionalFormatting sqref="J75 L75 N75 P75 R75 T75 V75 X75 Z75 AB75 AD75 AF75">
    <cfRule type="expression" dxfId="84" priority="14447" stopIfTrue="1">
      <formula>J70=$J$9</formula>
    </cfRule>
  </conditionalFormatting>
  <conditionalFormatting sqref="K74:AF74">
    <cfRule type="expression" dxfId="83" priority="1735">
      <formula>OFFSET(K74,-2,-2)=1</formula>
    </cfRule>
  </conditionalFormatting>
  <conditionalFormatting sqref="I74:AF74">
    <cfRule type="expression" dxfId="82" priority="1734">
      <formula>ROUND(I74,4)&gt;ROUND(I72,4)</formula>
    </cfRule>
  </conditionalFormatting>
  <conditionalFormatting sqref="N13">
    <cfRule type="expression" dxfId="81" priority="1733">
      <formula>$Y$9=0</formula>
    </cfRule>
  </conditionalFormatting>
  <conditionalFormatting sqref="F16:F24">
    <cfRule type="expression" dxfId="80" priority="21" stopIfTrue="1">
      <formula>IF(OR(ACOMPANHAMENTO="BM",F$12&gt;CÁLCULO.NúmeroDeFrentes),TRUE,PLE.ValorDoEvento=0)</formula>
    </cfRule>
    <cfRule type="cellIs" dxfId="79" priority="22" stopIfTrue="1" operator="equal">
      <formula>$J$9</formula>
    </cfRule>
  </conditionalFormatting>
  <conditionalFormatting sqref="H16:AF24">
    <cfRule type="expression" dxfId="78" priority="23" stopIfTrue="1">
      <formula>IF(OR(ACOMPANHAMENTO="BM",TIPOORCAMENTO="Proposto",H$12&gt;CÁLCULO.NúmeroDeFrentes),TRUE,PLE.ValorDoEvento=0)</formula>
    </cfRule>
    <cfRule type="cellIs" dxfId="77" priority="24" stopIfTrue="1" operator="equal">
      <formula>$J$9</formula>
    </cfRule>
  </conditionalFormatting>
  <conditionalFormatting sqref="F25:F33">
    <cfRule type="expression" dxfId="76" priority="17" stopIfTrue="1">
      <formula>IF(OR(ACOMPANHAMENTO="BM",F$12&gt;CÁLCULO.NúmeroDeFrentes),TRUE,PLE.ValorDoEvento=0)</formula>
    </cfRule>
    <cfRule type="cellIs" dxfId="75" priority="18" stopIfTrue="1" operator="equal">
      <formula>$J$9</formula>
    </cfRule>
  </conditionalFormatting>
  <conditionalFormatting sqref="H25:AF33">
    <cfRule type="expression" dxfId="74" priority="19" stopIfTrue="1">
      <formula>IF(OR(ACOMPANHAMENTO="BM",TIPOORCAMENTO="Proposto",H$12&gt;CÁLCULO.NúmeroDeFrentes),TRUE,PLE.ValorDoEvento=0)</formula>
    </cfRule>
    <cfRule type="cellIs" dxfId="73" priority="20" stopIfTrue="1" operator="equal">
      <formula>$J$9</formula>
    </cfRule>
  </conditionalFormatting>
  <conditionalFormatting sqref="F34:F42">
    <cfRule type="expression" dxfId="72" priority="13" stopIfTrue="1">
      <formula>IF(OR(ACOMPANHAMENTO="BM",F$12&gt;CÁLCULO.NúmeroDeFrentes),TRUE,PLE.ValorDoEvento=0)</formula>
    </cfRule>
    <cfRule type="cellIs" dxfId="71" priority="14" stopIfTrue="1" operator="equal">
      <formula>$J$9</formula>
    </cfRule>
  </conditionalFormatting>
  <conditionalFormatting sqref="H34:AF42">
    <cfRule type="expression" dxfId="70" priority="15" stopIfTrue="1">
      <formula>IF(OR(ACOMPANHAMENTO="BM",TIPOORCAMENTO="Proposto",H$12&gt;CÁLCULO.NúmeroDeFrentes),TRUE,PLE.ValorDoEvento=0)</formula>
    </cfRule>
    <cfRule type="cellIs" dxfId="69" priority="16" stopIfTrue="1" operator="equal">
      <formula>$J$9</formula>
    </cfRule>
  </conditionalFormatting>
  <conditionalFormatting sqref="F43:F51">
    <cfRule type="expression" dxfId="68" priority="9" stopIfTrue="1">
      <formula>IF(OR(ACOMPANHAMENTO="BM",F$12&gt;CÁLCULO.NúmeroDeFrentes),TRUE,PLE.ValorDoEvento=0)</formula>
    </cfRule>
    <cfRule type="cellIs" dxfId="67" priority="10" stopIfTrue="1" operator="equal">
      <formula>$J$9</formula>
    </cfRule>
  </conditionalFormatting>
  <conditionalFormatting sqref="H43:AF51">
    <cfRule type="expression" dxfId="66" priority="11" stopIfTrue="1">
      <formula>IF(OR(ACOMPANHAMENTO="BM",TIPOORCAMENTO="Proposto",H$12&gt;CÁLCULO.NúmeroDeFrentes),TRUE,PLE.ValorDoEvento=0)</formula>
    </cfRule>
    <cfRule type="cellIs" dxfId="65" priority="12" stopIfTrue="1" operator="equal">
      <formula>$J$9</formula>
    </cfRule>
  </conditionalFormatting>
  <conditionalFormatting sqref="F52:F60">
    <cfRule type="expression" dxfId="64" priority="5" stopIfTrue="1">
      <formula>IF(OR(ACOMPANHAMENTO="BM",F$12&gt;CÁLCULO.NúmeroDeFrentes),TRUE,PLE.ValorDoEvento=0)</formula>
    </cfRule>
    <cfRule type="cellIs" dxfId="63" priority="6" stopIfTrue="1" operator="equal">
      <formula>$J$9</formula>
    </cfRule>
  </conditionalFormatting>
  <conditionalFormatting sqref="H52:AF60">
    <cfRule type="expression" dxfId="62" priority="7" stopIfTrue="1">
      <formula>IF(OR(ACOMPANHAMENTO="BM",TIPOORCAMENTO="Proposto",H$12&gt;CÁLCULO.NúmeroDeFrentes),TRUE,PLE.ValorDoEvento=0)</formula>
    </cfRule>
    <cfRule type="cellIs" dxfId="61" priority="8" stopIfTrue="1" operator="equal">
      <formula>$J$9</formula>
    </cfRule>
  </conditionalFormatting>
  <conditionalFormatting sqref="F61:F64">
    <cfRule type="expression" dxfId="60" priority="1" stopIfTrue="1">
      <formula>IF(OR(ACOMPANHAMENTO="BM",F$12&gt;CÁLCULO.NúmeroDeFrentes),TRUE,PLE.ValorDoEvento=0)</formula>
    </cfRule>
    <cfRule type="cellIs" dxfId="59" priority="2" stopIfTrue="1" operator="equal">
      <formula>$J$9</formula>
    </cfRule>
  </conditionalFormatting>
  <conditionalFormatting sqref="H61:AF64">
    <cfRule type="expression" dxfId="58" priority="3" stopIfTrue="1">
      <formula>IF(OR(ACOMPANHAMENTO="BM",TIPOORCAMENTO="Proposto",H$12&gt;CÁLCULO.NúmeroDeFrentes),TRUE,PLE.ValorDoEvento=0)</formula>
    </cfRule>
    <cfRule type="cellIs" dxfId="5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37"/>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f>Import.Proponente</f>
        <v>0</v>
      </c>
      <c r="E5" s="680"/>
      <c r="F5" s="719">
        <f>Import.CR</f>
        <v>0</v>
      </c>
      <c r="G5" s="719"/>
      <c r="H5" s="719"/>
      <c r="I5" s="322">
        <f>Import.TransfereGOV</f>
        <v>0</v>
      </c>
      <c r="J5" s="680" t="str">
        <f>Import.Apelido</f>
        <v>Pavimentação Eliseu Didonet</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Ivorá/RS</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IF($J$32&lt;&gt;"",UPPER($J$32),
 "")))))))</f>
        <v>Foi selecionado na aba 'MENU' o acompanhamento por PLE.</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OFFSET(CRONO!$F$13,CRONO!$F$175,0)</f>
        <v>#VALUE!</v>
      </c>
      <c r="B11" s="418"/>
      <c r="C11" s="709"/>
      <c r="E11" s="556"/>
      <c r="F11" s="806"/>
      <c r="G11" s="806"/>
      <c r="H11" s="806"/>
      <c r="I11" s="806"/>
      <c r="N11" s="557"/>
      <c r="O11" s="558" t="str">
        <f ca="1">IF(ISERROR(P11),"","Administração Local Acumulada: "&amp;TEXT(P11,"0,00%"))</f>
        <v/>
      </c>
      <c r="P11" s="561" t="e">
        <f ca="1">OFFSET($O$15,$A$11,0)/OFFSET($I$15,$A$11,0)</f>
        <v>#VALUE!</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 xml:space="preserve">Objeto do CTEF: </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IF(OR(ACOMPANHAMENTO="PLE",TIPOORCAMENTO="Proposto"),0,SUMIF(OFFSET($A15,1,0):$A$22,"S",OFFSET(M15,1,0):M$22))</f>
        <v>0</v>
      </c>
      <c r="N15" s="341">
        <f ca="1">O15-M15</f>
        <v>0</v>
      </c>
      <c r="O15" s="341" cm="1">
        <f t="array" aca="1" ref="O15" ca="1">IF(OR(ACOMPANHAMENTO="PLE",TIPOORCAMENTO="Proposto"),0,SUMIF(OFFSET($A15,1,0):$A$22,"S",OFFSET(O15,1,0):O$22))</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6</v>
      </c>
      <c r="C16" s="114" t="str">
        <f t="shared" ref="C16:C21" ca="1" si="1">IF(OR($I16&gt;0,$A16=1,$A16=2,$A16=3,$A16=4),"F","")</f>
        <v>F</v>
      </c>
      <c r="D16" s="117" t="str">
        <f ca="1">ORÇAMENTO!O16</f>
        <v>1.</v>
      </c>
      <c r="E16" s="163" t="str">
        <f t="shared" ref="E16:E21" si="2">ORÇAMENTO.Descricao</f>
        <v>Pavimentação em Paralelepípedos Eliseu Didonet</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131840.62</v>
      </c>
      <c r="J16" s="333" cm="1">
        <f t="array" aca="1" ref="J16" ca="1">IF($A16="S",IF(CAIXA.Modo,BM.AFAnterior,BM.MEDAnterior),IF(AND(RegimeExecucao="Global",$I16&gt;0,COUNTIF($AB$13:$AM$13,BM.medicao-1)&gt;0),M16/$I16*100,0))</f>
        <v>0</v>
      </c>
      <c r="K16" s="122">
        <f t="shared" ref="K16:K21"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21" ca="1" si="4">O16-M16</f>
        <v>0</v>
      </c>
      <c r="O16" s="125" cm="1">
        <f t="array" aca="1" ref="O16" ca="1">IF($A16="S",VTOTALBM,IF($A16=0,0,ROUND(SomaAgrupBM,15-13*ORÇAMENTO!$AF$11)))</f>
        <v>0</v>
      </c>
      <c r="Q16" s="337"/>
      <c r="R16" s="338"/>
      <c r="T16" s="117" t="str">
        <f t="shared" ref="T16:T21" ca="1" si="5">IF($W16&gt;0,$D16,"")</f>
        <v/>
      </c>
      <c r="U16" s="163" t="str">
        <f t="shared" ref="U16:U21"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21"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Administração Local</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1664.9</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1.1.1.</v>
      </c>
      <c r="E18" s="163" t="str">
        <f t="shared" ca="1" si="2"/>
        <v>ENGENHEIRO CIVIL DE OBRA PLENO COM ENCARGOS COMPLEMENTARES</v>
      </c>
      <c r="F18" s="164" t="str" cm="1">
        <f t="array" aca="1" ref="F18" ca="1">IF(RegimeExecucao="Global","",ORÇAMENTO.Unidade)</f>
        <v>H</v>
      </c>
      <c r="G18" s="122" cm="1">
        <f t="array" aca="1" ref="G18" ca="1">IF(RegimeExecucao="Global","",ORÇAMENTO!T18)</f>
        <v>10</v>
      </c>
      <c r="H18" s="122" cm="1">
        <f t="array" aca="1" ref="H18" ca="1">IF(RegimeExecucao="Global","",ORÇAMENTO!W18)</f>
        <v>166.49</v>
      </c>
      <c r="I18" s="125">
        <f ca="1">ORÇAMENTO!X18</f>
        <v>1664.9</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3</v>
      </c>
      <c r="C19" s="114" t="str">
        <f t="shared" ca="1" si="1"/>
        <v>F</v>
      </c>
      <c r="D19" s="117" t="str">
        <f ca="1">ORÇAMENTO!O19</f>
        <v>1.2.</v>
      </c>
      <c r="E19" s="163" t="str">
        <f t="shared" si="2"/>
        <v xml:space="preserve">Pavimentação </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130175.72</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F</v>
      </c>
      <c r="D20" s="117" t="str">
        <f ca="1">ORÇAMENTO!O20</f>
        <v>1.2.1.</v>
      </c>
      <c r="E20" s="163" t="str">
        <f t="shared" ca="1" si="2"/>
        <v>EXECUÇÃO DE PAVIMENTO EM PARALELEPÍPEDOS, REJUNTAMENTO COM PÓ DE PEDRA. AF_05/2020</v>
      </c>
      <c r="F20" s="164" t="str" cm="1">
        <f t="array" aca="1" ref="F20" ca="1">IF(RegimeExecucao="Global","",ORÇAMENTO.Unidade)</f>
        <v>M2</v>
      </c>
      <c r="G20" s="122" cm="1">
        <f t="array" aca="1" ref="G20" ca="1">IF(RegimeExecucao="Global","",ORÇAMENTO!T20)</f>
        <v>770</v>
      </c>
      <c r="H20" s="122" cm="1">
        <f t="array" aca="1" ref="H20" ca="1">IF(RegimeExecucao="Global","",ORÇAMENTO!W20)</f>
        <v>148.75</v>
      </c>
      <c r="I20" s="125">
        <f ca="1">ORÇAMENTO!X20</f>
        <v>114537.5</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51" x14ac:dyDescent="0.2">
      <c r="A21" t="str">
        <f ca="1">ORÇAMENTO!C21</f>
        <v>S</v>
      </c>
      <c r="B21">
        <f ca="1">ORÇAMENTO!D21</f>
        <v>0</v>
      </c>
      <c r="C21" s="114" t="str">
        <f t="shared" ca="1" si="1"/>
        <v>F</v>
      </c>
      <c r="D21" s="117" t="str">
        <f ca="1">ORÇAMENTO!O21</f>
        <v>1.2.2.</v>
      </c>
      <c r="E21" s="163" t="str">
        <f t="shared" ca="1" si="2"/>
        <v>ASSENTAMENTO DE GUIA (MEIO-FIO) EM TRECHO CURVO, CONFECCIONADA EM CONCRETO PRÉ-FABRICADO, DIMENSÕES 100X15X13X30 CM (COMPRIMENTO X BASE INFERIOR X BASE SUPERIOR X ALTURA). AF_01/2024</v>
      </c>
      <c r="F21" s="164" t="str" cm="1">
        <f t="array" aca="1" ref="F21" ca="1">IF(RegimeExecucao="Global","",ORÇAMENTO.Unidade)</f>
        <v>M</v>
      </c>
      <c r="G21" s="122" cm="1">
        <f t="array" aca="1" ref="G21" ca="1">IF(RegimeExecucao="Global","",ORÇAMENTO!T21)</f>
        <v>234</v>
      </c>
      <c r="H21" s="122" cm="1">
        <f t="array" aca="1" ref="H21" ca="1">IF(RegimeExecucao="Global","",ORÇAMENTO!W21)</f>
        <v>66.83</v>
      </c>
      <c r="I21" s="125">
        <f ca="1">ORÇAMENTO!X21</f>
        <v>15638.22</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5.0999999999999996" customHeight="1" x14ac:dyDescent="0.2">
      <c r="C22" s="114" t="s">
        <v>536</v>
      </c>
      <c r="D22" s="618"/>
      <c r="E22" s="619"/>
      <c r="F22" s="619"/>
      <c r="G22" s="619"/>
      <c r="H22" s="619"/>
      <c r="I22" s="419"/>
      <c r="J22" s="618"/>
      <c r="K22" s="619"/>
      <c r="L22" s="419"/>
      <c r="M22" s="434"/>
      <c r="N22" s="435"/>
      <c r="O22" s="436"/>
      <c r="Q22" s="618"/>
      <c r="R22" s="419"/>
      <c r="T22" s="618"/>
      <c r="U22" s="619"/>
      <c r="V22" s="619"/>
      <c r="W22" s="619"/>
      <c r="X22" s="619"/>
      <c r="Y22" s="619"/>
      <c r="Z22" s="419"/>
      <c r="AB22" s="618"/>
      <c r="AC22" s="619"/>
      <c r="AD22" s="619"/>
      <c r="AE22" s="619"/>
      <c r="AF22" s="619"/>
      <c r="AG22" s="619"/>
      <c r="AH22" s="619"/>
      <c r="AI22" s="619"/>
      <c r="AJ22" s="619"/>
      <c r="AK22" s="619"/>
      <c r="AL22" s="619"/>
      <c r="AM22" s="419"/>
    </row>
    <row r="24" spans="1:41" ht="14.25" x14ac:dyDescent="0.2">
      <c r="D24" s="810" t="s">
        <v>689</v>
      </c>
      <c r="E24" s="810"/>
      <c r="F24" s="810"/>
      <c r="G24" s="810"/>
      <c r="H24" s="810"/>
      <c r="I24" s="810"/>
      <c r="J24" s="810"/>
      <c r="K24" s="810"/>
      <c r="L24" s="810"/>
      <c r="M24" s="810"/>
      <c r="N24" s="810"/>
      <c r="O24" s="810"/>
      <c r="T24" s="811" t="s">
        <v>865</v>
      </c>
      <c r="U24" s="811"/>
      <c r="V24" s="811"/>
      <c r="W24" s="811"/>
      <c r="X24" s="811"/>
      <c r="Y24" s="811"/>
      <c r="Z24" s="811"/>
    </row>
    <row r="25" spans="1:41" ht="12.75" customHeight="1" x14ac:dyDescent="0.2">
      <c r="D25" s="714"/>
      <c r="E25" s="714"/>
      <c r="F25" s="714"/>
      <c r="G25" s="714"/>
      <c r="H25" s="714"/>
      <c r="I25" s="714"/>
      <c r="J25" s="714"/>
      <c r="K25" s="714"/>
      <c r="L25" s="714"/>
      <c r="M25" s="714"/>
      <c r="N25" s="714"/>
      <c r="O25" s="714"/>
      <c r="T25" s="812"/>
      <c r="U25" s="812"/>
      <c r="V25" s="812"/>
      <c r="W25" s="812"/>
      <c r="X25" s="812"/>
      <c r="Y25" s="812"/>
      <c r="Z25" s="812"/>
    </row>
    <row r="26" spans="1:41" ht="12.75" customHeight="1" x14ac:dyDescent="0.2">
      <c r="D26" s="714"/>
      <c r="E26" s="714"/>
      <c r="F26" s="714"/>
      <c r="G26" s="714"/>
      <c r="H26" s="714"/>
      <c r="I26" s="714"/>
      <c r="J26" s="714"/>
      <c r="K26" s="714"/>
      <c r="L26" s="714"/>
      <c r="M26" s="714"/>
      <c r="N26" s="714"/>
      <c r="O26" s="714"/>
      <c r="T26" s="812"/>
      <c r="U26" s="812"/>
      <c r="V26" s="812"/>
      <c r="W26" s="812"/>
      <c r="X26" s="812"/>
      <c r="Y26" s="812"/>
      <c r="Z26" s="812"/>
    </row>
    <row r="27" spans="1:41" ht="12.75" customHeight="1" x14ac:dyDescent="0.2">
      <c r="D27" s="714"/>
      <c r="E27" s="714"/>
      <c r="F27" s="714"/>
      <c r="G27" s="714"/>
      <c r="H27" s="714"/>
      <c r="I27" s="714"/>
      <c r="J27" s="714"/>
      <c r="K27" s="714"/>
      <c r="L27" s="714"/>
      <c r="M27" s="714"/>
      <c r="N27" s="714"/>
      <c r="O27" s="714"/>
      <c r="T27" s="812"/>
      <c r="U27" s="812"/>
      <c r="V27" s="812"/>
      <c r="W27" s="812"/>
      <c r="X27" s="812"/>
      <c r="Y27" s="812"/>
      <c r="Z27" s="812"/>
    </row>
    <row r="28" spans="1:41" ht="14.25" x14ac:dyDescent="0.2">
      <c r="D28" s="443"/>
      <c r="E28" s="443"/>
      <c r="F28" s="443"/>
      <c r="G28" s="443"/>
      <c r="H28" s="443"/>
      <c r="I28" s="443"/>
      <c r="J28" s="443"/>
      <c r="K28" s="443"/>
      <c r="L28" s="443"/>
      <c r="M28" s="443"/>
      <c r="N28" s="443"/>
      <c r="O28" s="443"/>
    </row>
    <row r="29" spans="1:41" ht="15" customHeight="1" x14ac:dyDescent="0.25">
      <c r="D29" s="715" t="str" cm="1">
        <f t="array" aca="1" ref="D29"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9" s="715"/>
      <c r="F29" s="715"/>
      <c r="G29" s="715"/>
      <c r="H29" s="715"/>
      <c r="I29" s="715"/>
      <c r="J29" s="715"/>
      <c r="K29" s="715"/>
      <c r="L29" s="715"/>
    </row>
    <row r="30" spans="1:41" x14ac:dyDescent="0.2">
      <c r="D30" s="808"/>
      <c r="E30" s="808"/>
      <c r="F30" s="808"/>
      <c r="G30" s="808"/>
      <c r="H30" s="808"/>
      <c r="I30" s="808"/>
    </row>
    <row r="31" spans="1:41" x14ac:dyDescent="0.2">
      <c r="D31"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31" s="815"/>
      <c r="F31" s="815"/>
      <c r="G31" s="815"/>
      <c r="H31" s="815"/>
      <c r="I31" s="815"/>
      <c r="J31" s="815"/>
      <c r="K31" s="815"/>
      <c r="L31" s="815"/>
      <c r="M31" s="815"/>
      <c r="N31" s="815"/>
      <c r="O31" s="815"/>
    </row>
    <row r="32" spans="1:41" ht="39.950000000000003" customHeight="1" x14ac:dyDescent="0.25">
      <c r="E32" s="138" t="str">
        <f>Import.Município</f>
        <v>Ivorá/RS</v>
      </c>
      <c r="J32" s="585" t="str">
        <f ca="1">IF(DADOS!$D$50&lt;&gt;"","Preencher os Dados do Responsável pela Fiscalização, na aba DADOS.","")</f>
        <v/>
      </c>
      <c r="K32" s="585"/>
      <c r="L32" s="585"/>
      <c r="M32" s="585"/>
      <c r="W32" s="816"/>
      <c r="X32" s="816"/>
      <c r="Y32" s="816"/>
      <c r="Z32" s="816"/>
    </row>
    <row r="33" spans="5:26" x14ac:dyDescent="0.2">
      <c r="E33" s="9" t="s">
        <v>693</v>
      </c>
      <c r="J33" s="181" t="s">
        <v>841</v>
      </c>
      <c r="W33" s="181" t="s">
        <v>866</v>
      </c>
    </row>
    <row r="34" spans="5:26" x14ac:dyDescent="0.2">
      <c r="J34" s="77" t="s">
        <v>240</v>
      </c>
      <c r="K34" s="271">
        <f t="array" ref="K34:K37">Import.RespFiscalização</f>
        <v>0</v>
      </c>
      <c r="L34" s="78"/>
      <c r="W34" s="77" t="s">
        <v>240</v>
      </c>
      <c r="X34" s="814"/>
      <c r="Y34" s="814"/>
      <c r="Z34" s="814"/>
    </row>
    <row r="35" spans="5:26" x14ac:dyDescent="0.2">
      <c r="E35" s="459">
        <f>DADOS!$C$48</f>
        <v>0</v>
      </c>
      <c r="J35" s="77" t="s">
        <v>319</v>
      </c>
      <c r="K35" s="271">
        <v>0</v>
      </c>
      <c r="L35" s="78"/>
      <c r="W35" s="77" t="s">
        <v>867</v>
      </c>
      <c r="X35" s="814"/>
      <c r="Y35" s="814"/>
      <c r="Z35" s="814"/>
    </row>
    <row r="36" spans="5:26" x14ac:dyDescent="0.2">
      <c r="E36" s="140" t="s">
        <v>694</v>
      </c>
      <c r="J36" s="77" t="s">
        <v>243</v>
      </c>
      <c r="K36" s="271">
        <v>0</v>
      </c>
      <c r="L36" s="78"/>
      <c r="W36" s="77" t="s">
        <v>243</v>
      </c>
      <c r="X36" s="814"/>
      <c r="Y36" s="814"/>
      <c r="Z36" s="814"/>
    </row>
    <row r="37" spans="5:26" x14ac:dyDescent="0.2">
      <c r="J37" s="77" t="s">
        <v>246</v>
      </c>
      <c r="K37" s="12">
        <v>0</v>
      </c>
      <c r="W37" s="77"/>
      <c r="X37" s="12"/>
    </row>
  </sheetData>
  <sheetProtection algorithmName="SHA-512" hashValue="1GsudufalvllOBOs2muWTvWO1ujcwrcChkv6T1pLhvsCocUhLVP8fmqdgcvRkNjtP6ooHCSo5yL9UbGTolohQQ==" saltValue="dQ0DFPNL5JCJuAyXNXov9w==" spinCount="100000" sheet="1" objects="1" scenarios="1" autoFilter="0"/>
  <autoFilter ref="C15:C22" xr:uid="{00000000-0001-0000-0B00-000000000000}"/>
  <mergeCells count="33">
    <mergeCell ref="X36:Z36"/>
    <mergeCell ref="D31:O31"/>
    <mergeCell ref="W32:Z32"/>
    <mergeCell ref="X34:Z34"/>
    <mergeCell ref="X35:Z35"/>
    <mergeCell ref="D29:L29"/>
    <mergeCell ref="D30:I30"/>
    <mergeCell ref="AB15:AM15"/>
    <mergeCell ref="D24:O24"/>
    <mergeCell ref="T24:Z24"/>
    <mergeCell ref="D25:O27"/>
    <mergeCell ref="T25:Z27"/>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21 T16:Z21">
    <cfRule type="expression" dxfId="56" priority="18582" stopIfTrue="1">
      <formula>OR(ACOMPANHAMENTO="PLE",TIPOORCAMENTO="Proposto",$L14&lt;0,AND($L14&gt;100,RegimeExecucao="Global"),$O14&gt;$I14,$O14&lt;0)</formula>
    </cfRule>
    <cfRule type="expression" dxfId="55" priority="18583" stopIfTrue="1">
      <formula>$A14=1</formula>
    </cfRule>
    <cfRule type="expression" dxfId="54" priority="18584" stopIfTrue="1">
      <formula>$A14&lt;&gt;"S"</formula>
    </cfRule>
  </conditionalFormatting>
  <conditionalFormatting sqref="Q14:R14 AB14:AM14 Q16:R21 AB16:AM21">
    <cfRule type="expression" dxfId="53" priority="18585" stopIfTrue="1">
      <formula>$A14=1</formula>
    </cfRule>
    <cfRule type="expression" dxfId="52" priority="18586" stopIfTrue="1">
      <formula>$A14&lt;&gt;"S"</formula>
    </cfRule>
  </conditionalFormatting>
  <conditionalFormatting sqref="E2">
    <cfRule type="expression" dxfId="51" priority="18587" stopIfTrue="1">
      <formula>Import.RegimeExecução="(SELECIONAR)"</formula>
    </cfRule>
  </conditionalFormatting>
  <conditionalFormatting sqref="F13:H13">
    <cfRule type="expression" dxfId="50" priority="18588" stopIfTrue="1">
      <formula>RegimeExecucao="Global"</formula>
    </cfRule>
  </conditionalFormatting>
  <conditionalFormatting sqref="D15:O15">
    <cfRule type="expression" dxfId="49" priority="18589" stopIfTrue="1">
      <formula>OR(ACOMPANHAMENTO="PLE",TIPOORCAMENTO="Proposto")</formula>
    </cfRule>
  </conditionalFormatting>
  <conditionalFormatting sqref="AB13">
    <cfRule type="cellIs" dxfId="48" priority="18590" stopIfTrue="1" operator="notEqual">
      <formula>1</formula>
    </cfRule>
  </conditionalFormatting>
  <conditionalFormatting sqref="O11">
    <cfRule type="expression" dxfId="47" priority="13449">
      <formula>ROUND($P$11,4)&gt;ROUND($P$10,4)</formula>
    </cfRule>
  </conditionalFormatting>
  <dataValidations count="4">
    <dataValidation type="list" allowBlank="1" showErrorMessage="1" sqref="Z14 Z16:Z21"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1"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1"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f>Import.Proponente</f>
        <v>0</v>
      </c>
      <c r="F4" s="719"/>
      <c r="G4" s="719"/>
      <c r="H4" s="719"/>
      <c r="I4" s="680">
        <f>Import.CR</f>
        <v>0</v>
      </c>
      <c r="J4" s="680"/>
      <c r="K4" s="680"/>
      <c r="L4" s="56">
        <f>Import.TransfereGOV</f>
        <v>0</v>
      </c>
      <c r="M4" s="829" t="s">
        <v>809</v>
      </c>
      <c r="N4" s="830"/>
      <c r="O4" s="83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Pavimentação Eliseu Didonet</v>
      </c>
      <c r="F7" s="680"/>
      <c r="G7" s="680"/>
      <c r="H7" s="680"/>
      <c r="I7" s="818" t="str">
        <f>Import.Município</f>
        <v>Ivorá/RS</v>
      </c>
      <c r="J7" s="818"/>
      <c r="K7" s="818"/>
      <c r="L7" s="818"/>
      <c r="M7" s="353">
        <f>Import.Repasse</f>
        <v>0</v>
      </c>
      <c r="N7" s="354">
        <f>Import.Contrapartida</f>
        <v>0</v>
      </c>
      <c r="O7" s="353">
        <f>M7+N7</f>
        <v>0</v>
      </c>
      <c r="P7" s="423">
        <f>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IF($I$10&lt;DATE(YEAR(CRONO!$U$13),MONTH(CRONO!$U$13),1),0,IF($I$10&gt;OFFSET(CRONO!$AG$13,0,-1),1,INDEX(CRONO!$T$170:$AH$170,MATCH(RRE!$I$10,CRONO!$T$13:$AG$13,0))))</f>
        <v>0</v>
      </c>
      <c r="K10" s="355"/>
      <c r="L10" s="820"/>
      <c r="M10" s="360">
        <f ca="1">QCI!L10</f>
        <v>0</v>
      </c>
      <c r="N10" s="280">
        <f ca="1">QCI!M10</f>
        <v>-131840.62</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MATCH(E12,ORÇAMENTO!$E$15:$E$22,0)-1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MATCH(E14,ORÇAMENTO!$E$15:$E$22,0)-1</f>
        <v>1</v>
      </c>
      <c r="B14">
        <f ca="1">IF(ISERROR($A14),NA(),OFFSET(ORÇAMENTO!$D$15,$A14,0))</f>
        <v>6</v>
      </c>
      <c r="C14" t="str">
        <f ca="1">QCI!B14</f>
        <v>Automático</v>
      </c>
      <c r="D14" t="str">
        <f t="shared" ref="D14:D22" ca="1" si="0">IF(L14&gt;0,"F","")</f>
        <v>F</v>
      </c>
      <c r="E14" s="281">
        <f>QCI!D14</f>
        <v>1</v>
      </c>
      <c r="F14" s="362" t="str">
        <f ca="1">QCI!G14</f>
        <v>Pavimentação em Paralelepípedos Eliseu Didonet</v>
      </c>
      <c r="G14" s="363">
        <f>QCI!H14</f>
        <v>0</v>
      </c>
      <c r="H14" s="282">
        <f>QCI!I14</f>
        <v>0</v>
      </c>
      <c r="I14" s="282" t="str">
        <f ca="1">QCI!J14</f>
        <v/>
      </c>
      <c r="J14" s="364" t="str">
        <f ca="1">QCI!K14</f>
        <v>LOTE 1</v>
      </c>
      <c r="K14" s="365" cm="1">
        <f t="array" aca="1" ref="K14" ca="1">IF($C14="Automático",IF(ACOMPANHAMENTO="BM",BM.medicao,PLE.Medicao),IF(ISBLANK($X14),"",$X14))</f>
        <v>1</v>
      </c>
      <c r="L14" s="286">
        <f ca="1">QCI!$O14</f>
        <v>131840.62</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MATCH(E15,ORÇAMENTO!$E$15:$E$22,0)-1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MATCH(E16,ORÇAMENTO!$E$15:$E$22,0)-1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MATCH(E17,ORÇAMENTO!$E$15:$E$22,0)-1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MATCH(E18,ORÇAMENTO!$E$15:$E$22,0)-1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MATCH(E19,ORÇAMENTO!$E$15:$E$22,0)-1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MATCH(E20,ORÇAMENTO!$E$15:$E$22,0)-1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MATCH(E21,ORÇAMENTO!$E$15:$E$22,0)-1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MATCH(E22,ORÇAMENTO!$E$15:$E$22,0)-1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MATCH(E23,ORÇAMENTO!$E$15:$E$22,0)-1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38" t="s">
        <v>889</v>
      </c>
      <c r="K24" s="839"/>
      <c r="L24" s="369">
        <f ca="1">IF(ISERROR(L28/$L28),0,ROUND(L28/$L28,4))</f>
        <v>1</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131840.62</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131840.62</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Ivorá/RS</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f>IF(CAIXA.Modo,DADOS!C60,DADOS!C28)</f>
        <v>0</v>
      </c>
      <c r="L40" s="77" t="s">
        <v>240</v>
      </c>
      <c r="M40" s="815">
        <f>IF(CAIXA.Modo,BM!X34,DADOS!C51)</f>
        <v>0</v>
      </c>
      <c r="N40" s="815"/>
      <c r="O40" s="815"/>
    </row>
    <row r="41" spans="5:16" x14ac:dyDescent="0.2">
      <c r="E41" s="77" t="str">
        <f>IF(CAIXA.Modo,"Função:","Cargo:")</f>
        <v>Cargo:</v>
      </c>
      <c r="F41" s="271">
        <f>IF(CAIXA.Modo,DADOS!C61,DADOS!C29)</f>
        <v>0</v>
      </c>
      <c r="L41" s="77" t="str">
        <f>IF(CAIXA.Modo,"Matrícula:","Profissão:")</f>
        <v>Profissão:</v>
      </c>
      <c r="M41" s="815">
        <f>IF(CAIXA.Modo,BM!X35,DADOS!C52)</f>
        <v>0</v>
      </c>
      <c r="N41" s="815"/>
      <c r="O41" s="815"/>
    </row>
    <row r="42" spans="5:16" x14ac:dyDescent="0.2">
      <c r="L42" s="77" t="s">
        <v>243</v>
      </c>
      <c r="M42" s="815">
        <f>IF(CAIXA.Modo,BM!X36,DADOS!C53)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LQGs80aZbBjNs23GWJ2BW704wiBcWCmfk8Bi8AoFiYsjNN8nCteZayjATnXjgRKKXMMXxYtmCSiT2VVemE6JWw==" saltValue="eJpK9dRIqiYw0xMlkHcU6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Ivorá/RS,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Desembolso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 xml:space="preserve">Contrato de Financiamento - Operação nº </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f>Import.DescLote</f>
        <v>0</v>
      </c>
      <c r="D18" s="849"/>
      <c r="E18" s="849"/>
      <c r="F18" s="849"/>
      <c r="G18" s="849"/>
    </row>
    <row r="19" spans="2:7" ht="12.75" customHeight="1" x14ac:dyDescent="0.2">
      <c r="B19" s="851" t="s">
        <v>903</v>
      </c>
      <c r="C19" s="852">
        <f>Import.Proponente</f>
        <v>0</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0</v>
      </c>
      <c r="E30" s="399">
        <f ca="1">RRE!N25</f>
        <v>0</v>
      </c>
      <c r="F30" s="857">
        <f ca="1">RRE!O25</f>
        <v>0</v>
      </c>
      <c r="G30" s="857"/>
    </row>
    <row r="31" spans="2:7" x14ac:dyDescent="0.2">
      <c r="B31" s="856" t="s">
        <v>906</v>
      </c>
      <c r="C31" s="856"/>
      <c r="D31" s="399">
        <f ca="1">RRE!L26</f>
        <v>131840.62</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131840.62</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f>DADOS!$C$28</f>
        <v>0</v>
      </c>
      <c r="C54" s="858"/>
      <c r="D54" s="858"/>
      <c r="E54" s="858"/>
      <c r="F54" s="858"/>
      <c r="G54" s="858"/>
    </row>
    <row r="55" spans="2:7" x14ac:dyDescent="0.2">
      <c r="B55" s="858">
        <f>DADOS!$C$29</f>
        <v>0</v>
      </c>
      <c r="C55" s="858"/>
      <c r="D55" s="858"/>
      <c r="E55" s="858"/>
      <c r="F55" s="858"/>
      <c r="G55" s="858"/>
    </row>
    <row r="56" spans="2:7" x14ac:dyDescent="0.2">
      <c r="B56" s="859"/>
      <c r="C56" s="859"/>
      <c r="D56" s="859"/>
      <c r="E56" s="859"/>
      <c r="F56" s="859"/>
      <c r="G56" s="859"/>
    </row>
  </sheetData>
  <sheetProtection algorithmName="SHA-512" hashValue="jVdasXqJznyiuhFa2gS3S8VPtwfuJuubYkWQePuhpA/L45kwWwnp7m0nrNeW2FRxqLwcxJ2bgrCw5ReFe3IoTQ==" saltValue="Ok/cqMA2ZeyK7zC5ZWgdM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Pref Ivora</cp:lastModifiedBy>
  <cp:revision>5</cp:revision>
  <cp:lastPrinted>2025-11-17T11:44:42Z</cp:lastPrinted>
  <dcterms:created xsi:type="dcterms:W3CDTF">1997-01-10T22:22:50Z</dcterms:created>
  <dcterms:modified xsi:type="dcterms:W3CDTF">2025-11-17T12:07:41Z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