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EstaPasta_de_trabalho"/>
  <mc:AlternateContent xmlns:mc="http://schemas.openxmlformats.org/markup-compatibility/2006">
    <mc:Choice Requires="x15">
      <x15ac:absPath xmlns:x15ac="http://schemas.microsoft.com/office/spreadsheetml/2010/11/ac" url="C:\Users\User\Desktop\DOC Projeto cr984561\"/>
    </mc:Choice>
  </mc:AlternateContent>
  <xr:revisionPtr revIDLastSave="0" documentId="13_ncr:1_{D31561ED-26F8-4E87-9E0F-0FDC382F809B}" xr6:coauthVersionLast="47" xr6:coauthVersionMax="47" xr10:uidLastSave="{00000000-0000-0000-0000-000000000000}"/>
  <workbookProtection workbookAlgorithmName="SHA-512" workbookHashValue="332UY+p+FJCMYwCRlU3AdN+0KVKER63Vzya107ZV9suyLjmQfQ6M944kneO45cjQ3RHkFOIqH/lZFPQEOM2T5w==" workbookSaltValue="Wbrv8ZaPYM2BDmX5L4olng==" workbookSpinCount="100000" lockStructure="1"/>
  <bookViews>
    <workbookView xWindow="-120" yWindow="-120" windowWidth="29040" windowHeight="15720" tabRatio="801" activeTab="3"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BM!$C$15:$C$44</definedName>
    <definedName name="_xlnm._FilterDatabase" localSheetId="6" hidden="1">CÁLCULO!$C$15:$C$44</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ORÇAMENTO!$L$15:$L$44</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BM!$D$1:$O$59</definedName>
    <definedName name="_xlnm.Print_Area" localSheetId="6">CÁLCULO!$E$6:$AA$52</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ORÇAMENTO!$O$1:$Y$61</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BM!$C$15:$C$44</definedName>
    <definedName name="BM.firstrow" hidden="1">BM!$15:$15</definedName>
    <definedName name="BM.FormulaMed" hidden="1">BM!$AO$7</definedName>
    <definedName name="BM.lastrow" hidden="1">BM!$44:$44</definedName>
    <definedName name="BM.LinhaPadrão" hidden="1">BM!$14:$14</definedName>
    <definedName name="BM.MaxMed" hidden="1">IF(RegimeExecucao="Global",1,BM!$G1)</definedName>
    <definedName name="BM.MCAIXA.Filter" hidden="1">BM!$C$15:$Z$44</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CÁLCULO!$C$15:$C$44</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CÁLCULO!$44:$44</definedName>
    <definedName name="CÁLCULO.LinhaPadrão" hidden="1">CÁLCULO!$14:$14</definedName>
    <definedName name="CÁLCULO.margemrow" hidden="1">CÁLCULO!$52:$52</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CÁLCULO!$44:$44</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CÁLCULO!$44:$44</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CÁLCULO!$44:$44</definedName>
    <definedName name="CÁLCULO.nEvento" hidden="1">CÁLCULO!$M$12</definedName>
    <definedName name="CÁLCULO.NúmeroDeEventos" hidden="1">IF(AUTOEVENTO&lt;&gt;"manual",MAX(CÁLCULO!$M$15:$M$44),MAX(OFFSET(EVENTOS!$C$1:$C$65,1,0)))</definedName>
    <definedName name="CÁLCULO.NúmeroDeFrentes" hidden="1">COLUMN(CÁLCULO!$AA$15)-COLUMN(CÁLCULO!$Q$15)</definedName>
    <definedName name="CÁLCULO.Título" hidden="1">CÁLCULO!$F$6</definedName>
    <definedName name="CÁLCULO.TotalAdmLocal" hidden="1">IF(AUTOEVENTO="manual",SUMIF(CÁLCULO!$M$15:$M$44,1,ORÇAMENTO!$X$15:$X$44),0)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Lista.AdmLocal" hidden="1">CRONO!$A$13:$A$164</definedName>
    <definedName name="CRONO.Lista.Níveis" hidden="1">CRONO!$A$9:$A$11</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SUMIF(CÁLCULO!$M$15:$M$44,CRONOPLE!$B1,OFFSET(CÁLCULO!$AA$15:$AA$44,0,CRONOPLE!A$12))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BM!$D$47</definedName>
    <definedName name="Import.BMAFAcumulado" hidden="1">OFFSET(BM!$R$15,1,0):OFFSET(BM!$R$44,-1,0)</definedName>
    <definedName name="Import.BMArred" hidden="1">BM!$A$9</definedName>
    <definedName name="Import.CNPJ" hidden="1">DADOS!$C$39</definedName>
    <definedName name="Import.Código" hidden="1">OFFSET(ORÇAMENTO!$Q$15,1,0):OFFSET(ORÇAMENTO!$Q$44,-1,0)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OFFSET(ORÇAMENTO!$U$15,1,0):OFFSET(ORÇAMENTO!$U$44,-1,0)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OFFSET(ORÇAMENTO!$R$15,1,0):OFFSET(ORÇAMENTO!$R$44,-1,0)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OFFSET(ORÇAMENTO!$P$15,1,0):OFFSET(ORÇAMENTO!$P$44,-1,0)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OFFSET(ORÇAMENTO!$M$15,1,0):OFFSET(ORÇAMENTO!$M$44,-1,0)</definedName>
    <definedName name="Import.Ofício.Dest" hidden="1">OFÍCIO!$B$11</definedName>
    <definedName name="Import.Ofício.GIGOV" hidden="1">OFÍCIO!$C$11</definedName>
    <definedName name="Import.Ofício.Num" hidden="1">OFÍCIO!$C$6</definedName>
    <definedName name="Import.OpcaoBDI" hidden="1">OFFSET(ORÇAMENTO!$V$15,1,0):OFFSET(ORÇAMENTO!$V$44,-1,0)</definedName>
    <definedName name="Import.ORÇAMENTO.DivRecurso" hidden="1">OFFSET(ORÇAMENTO!$Y$15,1,0):OFFSET(ORÇAMENTO!$Y$44,-1,0)</definedName>
    <definedName name="Import.ORÇAMENTO.Obs" hidden="1">ORÇAMENTO!$O$50</definedName>
    <definedName name="Import.PLE" hidden="1">OFFSET(PLE!$G$15,1,1):OFFSET(PLE!$AG$65,-1,-1)</definedName>
    <definedName name="Import.PLE.Datas" hidden="1">PLE!$I$68:$AF$68</definedName>
    <definedName name="Import.PLQ" hidden="1">OFFSET(CÁLCULO!$P$15,1,1):OFFSET(CÁLCULO!$AA$44,-1,-1)</definedName>
    <definedName name="Import.PLQ.MemCalc" hidden="1">OFFSET(CÁLCULO!$I$15,1,0):OFFSET(CÁLCULO!$I$44,-1,0)</definedName>
    <definedName name="Import.PLQ.nAgrupEvent" hidden="1">OFFSET(CÁLCULO!$K$15,1,0):OFFSET(CÁLCULO!$K$44,-1,0)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OFFSET(ORÇAMENTO!$AJ$15,1,0):OFFSET(ORÇAMENTO!$AJ$44,-1,0)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OFFSET(ORÇAMENTO!$S$15,1,0):OFFSET(ORÇAMENTO!$S$44,-1,0)</definedName>
    <definedName name="Import.UnitarioLicitado" hidden="1">OFFSET(ORÇAMENTO!$AL$15,1,0):OFFSET(ORÇAMENTO!$AL$44,-1,0)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ORÇAMENTO!$L$15:$L$44</definedName>
    <definedName name="ORÇAMENTO.firstrow" hidden="1">ORÇAMENTO!$15:$15</definedName>
    <definedName name="ORÇAMENTO.Fonte" hidden="1">ORÇAMENTO!$P1</definedName>
    <definedName name="ORÇAMENTO.lastrow" hidden="1">ORÇAMENTO!$44:$44</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OFFSET(ORÇAMENTO!$AD$15,1,0):OFFSET(ORÇAMENTO!$AD$44,-1,0)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OFFSET(ORÇAMENTO!$P$15,1,0):OFFSET(ORÇAMENTO!$S$44,-1,0)</definedName>
    <definedName name="ORÇAMENTO.PasteFormat2" hidden="1">OFFSET(ORÇAMENTO!$U$15,1,0):OFFSET(ORÇAMENTO!$V$44,-1,0)</definedName>
    <definedName name="ORÇAMENTO.PrecoUnitarioLicitado" hidden="1">ORÇAMENTO!$AL1</definedName>
    <definedName name="ORÇAMENTO.QuantBM" hidden="1">ORÇAMENTO!$AJ1</definedName>
    <definedName name="ORÇAMENTO.RangeQuant" hidden="1">OFFSET(ORÇAMENTO!$T$15,1,0):OFFSET(ORÇAMENTO!$T$44,-1,0)</definedName>
    <definedName name="ORÇAMENTO.SumCPMANUAL" hidden="1">SUMIF(ORÇAMENTO!$Z$15:$Z$44,"CP",ORÇAMENTO!$AA$15:$AA$44)</definedName>
    <definedName name="ORÇAMENTO.SumINVMANUAL" hidden="1">SUMIF(ORÇAMENTO!$Z$15:$Z$44,"RP",ORÇAMENTO!$X$15:$X$44)+SUMIF(ORÇAMENTO!$Z$15:$Z$44,"CP",ORÇAMENTO!$X$15:$X$44)+SUMIF(ORÇAMENTO!$Z$15:$Z$44,"OU",ORÇAMENTO!$X$15:$X$44)</definedName>
    <definedName name="ORÇAMENTO.SumOUTROSMANUAL" hidden="1">SUMIF(ORÇAMENTO!$Z$15:$Z$44,"OU",ORÇAMENTO!$AB$15:$AB$44)</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SUMIF(CÁLCULO!$M$15:$M$44,PLE!$B1,OFFSET(CÁLCULO!$AA$15:$AA$44,0,PLE!A$12))</definedName>
    <definedName name="PO.ValoresBDI" hidden="1">OFFSET(ORÇAMENTO!$AH$15,1,0):OFFSET(ORÇAMENTO!$AH$44,-1,0)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1" i="5" l="1"/>
  <c r="A36" i="5"/>
  <c r="A20" i="5"/>
  <c r="A28" i="5"/>
  <c r="A26" i="5"/>
  <c r="A25" i="5"/>
  <c r="C192" i="3"/>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43" i="5"/>
  <c r="A42" i="5"/>
  <c r="A40" i="5"/>
  <c r="A39" i="5"/>
  <c r="A38" i="5"/>
  <c r="A37" i="5"/>
  <c r="A35" i="5"/>
  <c r="A34" i="5"/>
  <c r="A33" i="5"/>
  <c r="A32" i="5"/>
  <c r="A31" i="5"/>
  <c r="A30" i="5"/>
  <c r="A29" i="5"/>
  <c r="A27" i="5"/>
  <c r="A24" i="5"/>
  <c r="A23" i="5"/>
  <c r="A22" i="5"/>
  <c r="A21" i="5"/>
  <c r="A19" i="5"/>
  <c r="A18" i="5"/>
  <c r="A17" i="5"/>
  <c r="C16" i="5"/>
  <c r="F16" i="5" s="1"/>
  <c r="A16" i="5"/>
  <c r="R101" i="4"/>
  <c r="J105" i="4"/>
  <c r="J102" i="4"/>
  <c r="J101" i="4"/>
  <c r="J65" i="4"/>
  <c r="J62" i="4"/>
  <c r="J61" i="4"/>
  <c r="C188" i="3"/>
  <c r="A23" i="11" l="1"/>
  <c r="G16" i="5"/>
  <c r="I16" i="5"/>
  <c r="N16" i="5"/>
  <c r="D16" i="6" s="1"/>
  <c r="B16" i="5"/>
  <c r="A16" i="12"/>
  <c r="B16" i="6"/>
  <c r="E16" i="12"/>
  <c r="H16" i="5"/>
  <c r="W16" i="5" a="1"/>
  <c r="H16" i="12" s="1" a="1"/>
  <c r="AE16" i="5" a="1"/>
  <c r="C17" i="5"/>
  <c r="L17" i="6"/>
  <c r="B20" i="8"/>
  <c r="E19" i="13"/>
  <c r="A19" i="11"/>
  <c r="A17" i="11"/>
  <c r="C184" i="3"/>
  <c r="C183" i="3"/>
  <c r="C181" i="3"/>
  <c r="L18" i="6" l="1"/>
  <c r="B17" i="6"/>
  <c r="A17" i="12"/>
  <c r="E17" i="12"/>
  <c r="B17" i="5"/>
  <c r="I17" i="5"/>
  <c r="N17" i="5"/>
  <c r="W17" i="5" a="1"/>
  <c r="H17" i="12" s="1" a="1"/>
  <c r="C18" i="5"/>
  <c r="H17" i="5"/>
  <c r="G17" i="5"/>
  <c r="F17" i="5"/>
  <c r="AE17" i="5" a="1"/>
  <c r="B23" i="8"/>
  <c r="M16" i="6"/>
  <c r="H16" i="6" a="1"/>
  <c r="T16" i="5" s="1"/>
  <c r="G16" i="12" s="1" a="1"/>
  <c r="G16" i="6"/>
  <c r="N16" i="6"/>
  <c r="AD16" i="5"/>
  <c r="AD17" i="5" s="1"/>
  <c r="E16" i="5"/>
  <c r="F16" i="6"/>
  <c r="AC44" i="5" a="1"/>
  <c r="A18" i="12" l="1"/>
  <c r="J18" i="5"/>
  <c r="D18" i="5"/>
  <c r="B18" i="12" s="1"/>
  <c r="C19" i="5"/>
  <c r="C20" i="5" s="1"/>
  <c r="H18" i="5"/>
  <c r="G18" i="5"/>
  <c r="F18" i="5"/>
  <c r="B18" i="5"/>
  <c r="AE18" i="5" a="1"/>
  <c r="AD18" i="5"/>
  <c r="N18" i="5"/>
  <c r="D18" i="6" s="1"/>
  <c r="K18" i="5"/>
  <c r="B26" i="8"/>
  <c r="D17" i="6"/>
  <c r="F17" i="6"/>
  <c r="B14" i="11"/>
  <c r="A14" i="13"/>
  <c r="E17" i="5"/>
  <c r="L19" i="6"/>
  <c r="L20" i="6" s="1"/>
  <c r="B18" i="6"/>
  <c r="L14" i="6"/>
  <c r="AE7" i="10" a="1"/>
  <c r="AE6" i="10" a="1"/>
  <c r="V7" i="10" a="1"/>
  <c r="V6" i="10" a="1"/>
  <c r="D51" i="12" a="1"/>
  <c r="AB15" i="12" a="1"/>
  <c r="Q12" i="12" a="1"/>
  <c r="X13" i="12" a="1"/>
  <c r="W13" i="12" a="1"/>
  <c r="V13" i="12" a="1"/>
  <c r="J12" i="12" a="1"/>
  <c r="I8" i="12" a="1"/>
  <c r="I7" i="12" a="1"/>
  <c r="A7" i="12" a="1"/>
  <c r="E2" i="12" a="1"/>
  <c r="AF8" i="8" a="1"/>
  <c r="AF7" i="8" a="1"/>
  <c r="S4" i="8" a="1"/>
  <c r="Z8" i="8" a="1"/>
  <c r="Z7" i="8" a="1"/>
  <c r="D15" i="6" a="1"/>
  <c r="J120" i="4" a="1"/>
  <c r="J80" i="4" a="1"/>
  <c r="J40" i="4" a="1"/>
  <c r="D36" i="2" a="1"/>
  <c r="D41" i="2" a="1"/>
  <c r="D40" i="2" a="1"/>
  <c r="D39" i="2" a="1"/>
  <c r="D38" i="2" a="1"/>
  <c r="D37" i="2" a="1"/>
  <c r="G18" i="15" a="1"/>
  <c r="G10" i="15" a="1"/>
  <c r="E22" i="15" a="1"/>
  <c r="E18" i="15" a="1"/>
  <c r="E12" i="15" a="1"/>
  <c r="E10" i="15" a="1"/>
  <c r="E24" i="15" a="1"/>
  <c r="C18" i="15" a="1"/>
  <c r="C14" i="15" a="1"/>
  <c r="C12" i="15" a="1"/>
  <c r="C10" i="15" a="1"/>
  <c r="N15" i="5" a="1"/>
  <c r="M15" i="5" a="1"/>
  <c r="F10" i="5" a="1"/>
  <c r="F11" i="5" s="1" a="1"/>
  <c r="F9" i="5" a="1"/>
  <c r="O8" i="5" s="1" a="1"/>
  <c r="F8" i="5" a="1"/>
  <c r="A14" i="5"/>
  <c r="C165" i="3"/>
  <c r="G11" i="5" a="1"/>
  <c r="D20" i="5" l="1"/>
  <c r="B20" i="12" s="1"/>
  <c r="J20" i="5"/>
  <c r="K20" i="5"/>
  <c r="N20" i="5"/>
  <c r="D20" i="6" s="1"/>
  <c r="A20" i="12"/>
  <c r="AE20" i="5" a="1"/>
  <c r="AD20" i="5"/>
  <c r="B20" i="6"/>
  <c r="C14" i="13"/>
  <c r="K14" i="11" a="1"/>
  <c r="J14" i="13" s="1"/>
  <c r="G14" i="11"/>
  <c r="F14" i="13" s="1"/>
  <c r="E18" i="5"/>
  <c r="E19" i="5" s="1"/>
  <c r="E20" i="5" s="1"/>
  <c r="B19" i="6"/>
  <c r="L21" i="6"/>
  <c r="G17" i="6"/>
  <c r="M17" i="6"/>
  <c r="H17" i="6" a="1"/>
  <c r="T17" i="5" s="1"/>
  <c r="N17" i="6"/>
  <c r="B29" i="8"/>
  <c r="AF17" i="5" a="1"/>
  <c r="AF16" i="5" a="1"/>
  <c r="A19" i="12"/>
  <c r="D19" i="5"/>
  <c r="B19" i="12" s="1"/>
  <c r="N19" i="5"/>
  <c r="K19" i="5"/>
  <c r="B19" i="5"/>
  <c r="B20" i="5" s="1"/>
  <c r="AD19" i="5"/>
  <c r="AE19" i="5" a="1"/>
  <c r="J19" i="5"/>
  <c r="H19" i="5"/>
  <c r="H20" i="5" s="1"/>
  <c r="G19" i="5"/>
  <c r="G20" i="5" s="1"/>
  <c r="F19" i="5"/>
  <c r="F20" i="5" s="1"/>
  <c r="B14" i="6"/>
  <c r="C21" i="5" l="1"/>
  <c r="G17" i="12" a="1"/>
  <c r="L22" i="6"/>
  <c r="AG16" i="5" a="1"/>
  <c r="S16" i="5" a="1"/>
  <c r="D19" i="6"/>
  <c r="AG17" i="5" a="1"/>
  <c r="S17" i="5" a="1"/>
  <c r="F17" i="12" s="1" a="1"/>
  <c r="B32" i="8"/>
  <c r="E21" i="12"/>
  <c r="F14" i="6"/>
  <c r="D14" i="6"/>
  <c r="C171" i="3"/>
  <c r="C170" i="3"/>
  <c r="C169" i="3"/>
  <c r="C166" i="3"/>
  <c r="C160" i="3"/>
  <c r="C159" i="3"/>
  <c r="C22" i="5" l="1"/>
  <c r="AE21" i="5" a="1"/>
  <c r="F21" i="5"/>
  <c r="B21" i="5"/>
  <c r="E21" i="5"/>
  <c r="AF21" i="5" a="1"/>
  <c r="B21" i="6"/>
  <c r="H21" i="5"/>
  <c r="AD21" i="5"/>
  <c r="G21" i="5"/>
  <c r="N21" i="5"/>
  <c r="D21" i="6" s="1"/>
  <c r="A21" i="12"/>
  <c r="F16" i="12" a="1"/>
  <c r="B35" i="8"/>
  <c r="F21" i="6"/>
  <c r="L23" i="6"/>
  <c r="G14" i="6"/>
  <c r="H14" i="6" a="1"/>
  <c r="X9" i="5"/>
  <c r="W9" i="5"/>
  <c r="V9" i="5"/>
  <c r="U9" i="5"/>
  <c r="T9" i="5"/>
  <c r="G22" i="5" l="1"/>
  <c r="F22" i="5"/>
  <c r="B22" i="6"/>
  <c r="A22" i="12"/>
  <c r="AD22" i="5"/>
  <c r="B22" i="5"/>
  <c r="N22" i="5"/>
  <c r="D22" i="6" s="1"/>
  <c r="AE22" i="5" a="1"/>
  <c r="K22" i="5"/>
  <c r="H22" i="5"/>
  <c r="D22" i="5"/>
  <c r="B22" i="12" s="1"/>
  <c r="J22" i="5"/>
  <c r="E22" i="5"/>
  <c r="C23" i="5"/>
  <c r="S21" i="5" a="1"/>
  <c r="F21" i="12" s="1" a="1"/>
  <c r="AG21" i="5" a="1"/>
  <c r="L24" i="6"/>
  <c r="L25" i="6" s="1"/>
  <c r="B38" i="8"/>
  <c r="G21" i="6"/>
  <c r="C177" i="3"/>
  <c r="C175" i="3"/>
  <c r="G23" i="5" l="1"/>
  <c r="F23" i="5"/>
  <c r="B23" i="5"/>
  <c r="H23" i="5"/>
  <c r="C24" i="5"/>
  <c r="B24" i="6" s="1"/>
  <c r="K23" i="5"/>
  <c r="B23" i="6"/>
  <c r="A23" i="12"/>
  <c r="N23" i="5"/>
  <c r="D23" i="6" s="1"/>
  <c r="J23" i="5"/>
  <c r="AE23" i="5" a="1"/>
  <c r="AD23" i="5"/>
  <c r="E23" i="5"/>
  <c r="D23" i="5"/>
  <c r="B23" i="12" s="1"/>
  <c r="L26" i="6"/>
  <c r="L27" i="6" s="1"/>
  <c r="L28" i="6" s="1"/>
  <c r="B41" i="8"/>
  <c r="C157" i="3"/>
  <c r="C173" i="3"/>
  <c r="C167" i="3"/>
  <c r="C164" i="3"/>
  <c r="C163" i="3"/>
  <c r="C161" i="3"/>
  <c r="E24" i="5" l="1"/>
  <c r="H24" i="5"/>
  <c r="G24" i="5"/>
  <c r="F24" i="5"/>
  <c r="B24" i="5"/>
  <c r="C25" i="5"/>
  <c r="A24" i="12"/>
  <c r="D24" i="5"/>
  <c r="B24" i="12" s="1"/>
  <c r="N24" i="5"/>
  <c r="D24" i="6" s="1"/>
  <c r="AE24" i="5" a="1"/>
  <c r="AD24" i="5"/>
  <c r="K24" i="5"/>
  <c r="J24" i="5"/>
  <c r="B44" i="8"/>
  <c r="L29" i="6"/>
  <c r="C153" i="3"/>
  <c r="C151" i="3"/>
  <c r="E25" i="5" l="1"/>
  <c r="B25" i="5"/>
  <c r="G25" i="5"/>
  <c r="H25" i="5"/>
  <c r="F25" i="5"/>
  <c r="A25" i="12"/>
  <c r="AE25" i="5" a="1"/>
  <c r="AD25" i="5"/>
  <c r="C26" i="5"/>
  <c r="N25" i="5"/>
  <c r="D25" i="6" s="1"/>
  <c r="K25" i="5"/>
  <c r="J25" i="5"/>
  <c r="D25" i="5"/>
  <c r="B25" i="12" s="1"/>
  <c r="B25" i="6"/>
  <c r="B47" i="8"/>
  <c r="L30" i="6"/>
  <c r="A12" i="6"/>
  <c r="E26" i="5" l="1"/>
  <c r="D26" i="5"/>
  <c r="B26" i="12" s="1"/>
  <c r="N26" i="5"/>
  <c r="D26" i="6" s="1"/>
  <c r="K26" i="5"/>
  <c r="F26" i="5"/>
  <c r="J26" i="5"/>
  <c r="AD26" i="5"/>
  <c r="A26" i="12"/>
  <c r="AE26" i="5" a="1"/>
  <c r="B26" i="5"/>
  <c r="C27" i="5" s="1"/>
  <c r="G26" i="5"/>
  <c r="H26" i="5"/>
  <c r="B26" i="6"/>
  <c r="E27" i="12"/>
  <c r="F27" i="6"/>
  <c r="X64" i="7" a="1"/>
  <c r="R64" i="7" a="1"/>
  <c r="L64" i="7" a="1"/>
  <c r="E64" i="7" a="1"/>
  <c r="V63" i="7" a="1"/>
  <c r="P63" i="7" a="1"/>
  <c r="J63" i="7" a="1"/>
  <c r="T62" i="7" a="1"/>
  <c r="N62" i="7" a="1"/>
  <c r="H62" i="7" a="1"/>
  <c r="X61" i="7" a="1"/>
  <c r="R61" i="7" a="1"/>
  <c r="L61" i="7" a="1"/>
  <c r="E61" i="7" a="1"/>
  <c r="V60" i="7" a="1"/>
  <c r="P60" i="7" a="1"/>
  <c r="J60" i="7" a="1"/>
  <c r="T59" i="7" a="1"/>
  <c r="N59" i="7" a="1"/>
  <c r="H59" i="7" a="1"/>
  <c r="X58" i="7" a="1"/>
  <c r="R58" i="7" a="1"/>
  <c r="L58" i="7" a="1"/>
  <c r="E58" i="7" a="1"/>
  <c r="V57" i="7" a="1"/>
  <c r="P57" i="7" a="1"/>
  <c r="J57" i="7" a="1"/>
  <c r="T56" i="7" a="1"/>
  <c r="N56" i="7" a="1"/>
  <c r="H56" i="7" a="1"/>
  <c r="X55" i="7" a="1"/>
  <c r="R55" i="7" a="1"/>
  <c r="L55" i="7" a="1"/>
  <c r="E55" i="7" a="1"/>
  <c r="V54" i="7" a="1"/>
  <c r="P54" i="7" a="1"/>
  <c r="J54" i="7" a="1"/>
  <c r="T53" i="7" a="1"/>
  <c r="N53" i="7" a="1"/>
  <c r="H53" i="7" a="1"/>
  <c r="X52" i="7" a="1"/>
  <c r="R52" i="7" a="1"/>
  <c r="L52" i="7" a="1"/>
  <c r="E52" i="7" a="1"/>
  <c r="V51" i="7" a="1"/>
  <c r="P51" i="7" a="1"/>
  <c r="J51" i="7" a="1"/>
  <c r="T50" i="7" a="1"/>
  <c r="N50" i="7" a="1"/>
  <c r="H50" i="7" a="1"/>
  <c r="X49" i="7" a="1"/>
  <c r="R49" i="7" a="1"/>
  <c r="L49" i="7" a="1"/>
  <c r="E49" i="7" a="1"/>
  <c r="V48" i="7" a="1"/>
  <c r="P48" i="7" a="1"/>
  <c r="J48" i="7" a="1"/>
  <c r="T47" i="7" a="1"/>
  <c r="N47" i="7" a="1"/>
  <c r="H47" i="7" a="1"/>
  <c r="X46" i="7" a="1"/>
  <c r="R46" i="7" a="1"/>
  <c r="L46" i="7" a="1"/>
  <c r="E46" i="7" a="1"/>
  <c r="V45" i="7" a="1"/>
  <c r="P45" i="7" a="1"/>
  <c r="J45" i="7" a="1"/>
  <c r="T44" i="7" a="1"/>
  <c r="N44" i="7" a="1"/>
  <c r="H44" i="7" a="1"/>
  <c r="X43" i="7" a="1"/>
  <c r="R43" i="7" a="1"/>
  <c r="L43" i="7" a="1"/>
  <c r="E43" i="7" a="1"/>
  <c r="V42" i="7" a="1"/>
  <c r="P42" i="7" a="1"/>
  <c r="J42" i="7" a="1"/>
  <c r="T41" i="7" a="1"/>
  <c r="N41" i="7" a="1"/>
  <c r="H41" i="7" a="1"/>
  <c r="X40" i="7" a="1"/>
  <c r="R40" i="7" a="1"/>
  <c r="L40" i="7" a="1"/>
  <c r="E40" i="7" a="1"/>
  <c r="V39" i="7" a="1"/>
  <c r="W64" i="7" a="1"/>
  <c r="Q64" i="7" a="1"/>
  <c r="K64" i="7" a="1"/>
  <c r="U63" i="7" a="1"/>
  <c r="O63" i="7" a="1"/>
  <c r="I63" i="7" a="1"/>
  <c r="Y62" i="7" a="1"/>
  <c r="S62" i="7" a="1"/>
  <c r="M62" i="7" a="1"/>
  <c r="F62" i="7"/>
  <c r="W61" i="7" a="1"/>
  <c r="Q61" i="7" a="1"/>
  <c r="K61" i="7" a="1"/>
  <c r="U60" i="7" a="1"/>
  <c r="O60" i="7" a="1"/>
  <c r="I60" i="7" a="1"/>
  <c r="Y59" i="7" a="1"/>
  <c r="V64" i="7" a="1"/>
  <c r="P64" i="7" a="1"/>
  <c r="J64" i="7" a="1"/>
  <c r="T63" i="7" a="1"/>
  <c r="N63" i="7" a="1"/>
  <c r="H63" i="7" a="1"/>
  <c r="X62" i="7" a="1"/>
  <c r="R62" i="7" a="1"/>
  <c r="L62" i="7" a="1"/>
  <c r="E62" i="7" a="1"/>
  <c r="V61" i="7" a="1"/>
  <c r="P61" i="7" a="1"/>
  <c r="J61" i="7" a="1"/>
  <c r="T60" i="7" a="1"/>
  <c r="N60" i="7" a="1"/>
  <c r="H60" i="7" a="1"/>
  <c r="X59" i="7" a="1"/>
  <c r="R59" i="7" a="1"/>
  <c r="L59" i="7" a="1"/>
  <c r="E59" i="7" a="1"/>
  <c r="V58" i="7" a="1"/>
  <c r="P58" i="7" a="1"/>
  <c r="J58" i="7" a="1"/>
  <c r="T57" i="7" a="1"/>
  <c r="N57" i="7" a="1"/>
  <c r="H57" i="7" a="1"/>
  <c r="X56" i="7" a="1"/>
  <c r="R56" i="7" a="1"/>
  <c r="L56" i="7" a="1"/>
  <c r="E56" i="7" a="1"/>
  <c r="V55" i="7" a="1"/>
  <c r="P55" i="7" a="1"/>
  <c r="J55" i="7" a="1"/>
  <c r="T54" i="7" a="1"/>
  <c r="N54" i="7" a="1"/>
  <c r="H54" i="7" a="1"/>
  <c r="X53" i="7" a="1"/>
  <c r="R53" i="7" a="1"/>
  <c r="L53" i="7" a="1"/>
  <c r="E53" i="7" a="1"/>
  <c r="V52" i="7" a="1"/>
  <c r="P52" i="7" a="1"/>
  <c r="J52" i="7" a="1"/>
  <c r="T51" i="7" a="1"/>
  <c r="N51" i="7" a="1"/>
  <c r="H51" i="7" a="1"/>
  <c r="X50" i="7" a="1"/>
  <c r="R50" i="7" a="1"/>
  <c r="L50" i="7" a="1"/>
  <c r="E50" i="7" a="1"/>
  <c r="V49" i="7" a="1"/>
  <c r="P49" i="7" a="1"/>
  <c r="J49" i="7" a="1"/>
  <c r="T48" i="7" a="1"/>
  <c r="N48" i="7" a="1"/>
  <c r="H48" i="7" a="1"/>
  <c r="X47" i="7" a="1"/>
  <c r="R47" i="7" a="1"/>
  <c r="L47" i="7" a="1"/>
  <c r="E47" i="7" a="1"/>
  <c r="V46" i="7" a="1"/>
  <c r="P46" i="7" a="1"/>
  <c r="J46" i="7" a="1"/>
  <c r="T45" i="7" a="1"/>
  <c r="N45" i="7" a="1"/>
  <c r="H45" i="7" a="1"/>
  <c r="X44" i="7" a="1"/>
  <c r="R44" i="7" a="1"/>
  <c r="L44" i="7" a="1"/>
  <c r="E44" i="7" a="1"/>
  <c r="V43" i="7" a="1"/>
  <c r="P43" i="7" a="1"/>
  <c r="J43" i="7" a="1"/>
  <c r="H64" i="7" a="1"/>
  <c r="N61" i="7" a="1"/>
  <c r="E60" i="7" a="1"/>
  <c r="S59" i="7" a="1"/>
  <c r="J59" i="7" a="1"/>
  <c r="W58" i="7" a="1"/>
  <c r="N58" i="7" a="1"/>
  <c r="W56" i="7" a="1"/>
  <c r="I55" i="7" a="1"/>
  <c r="W54" i="7" a="1"/>
  <c r="S53" i="7" a="1"/>
  <c r="J53" i="7" a="1"/>
  <c r="W52" i="7" a="1"/>
  <c r="F52" i="7"/>
  <c r="M51" i="7" a="1"/>
  <c r="E51" i="7" a="1"/>
  <c r="F50" i="7"/>
  <c r="W48" i="7" a="1"/>
  <c r="Q46" i="7" a="1"/>
  <c r="Y45" i="7" a="1"/>
  <c r="R45" i="7" a="1"/>
  <c r="K45" i="7" a="1"/>
  <c r="S44" i="7" a="1"/>
  <c r="N42" i="7" a="1"/>
  <c r="Q41" i="7" a="1"/>
  <c r="M40" i="7" a="1"/>
  <c r="F64" i="7"/>
  <c r="S63" i="7" a="1"/>
  <c r="V62" i="7" a="1"/>
  <c r="K62" i="7" a="1"/>
  <c r="M61" i="7" a="1"/>
  <c r="Y60" i="7" a="1"/>
  <c r="I59" i="7" a="1"/>
  <c r="M58" i="7" a="1"/>
  <c r="R57" i="7" a="1"/>
  <c r="I57" i="7" a="1"/>
  <c r="M54" i="7" a="1"/>
  <c r="I53" i="7" a="1"/>
  <c r="N52" i="7" a="1"/>
  <c r="U51" i="7" a="1"/>
  <c r="U50" i="7" a="1"/>
  <c r="U49" i="7" a="1"/>
  <c r="N49" i="7" a="1"/>
  <c r="F49" i="7"/>
  <c r="O48" i="7" a="1"/>
  <c r="W47" i="7" a="1"/>
  <c r="P47" i="7" a="1"/>
  <c r="I47" i="7" a="1"/>
  <c r="I46" i="7" a="1"/>
  <c r="K44" i="7" a="1"/>
  <c r="S43" i="7" a="1"/>
  <c r="U62" i="7" a="1"/>
  <c r="Q59" i="7" a="1"/>
  <c r="U58" i="7" a="1"/>
  <c r="Q57" i="7" a="1"/>
  <c r="V56" i="7" a="1"/>
  <c r="M56" i="7" a="1"/>
  <c r="Q55" i="7" a="1"/>
  <c r="H55" i="7" a="1"/>
  <c r="Q53" i="7" a="1"/>
  <c r="U52" i="7" a="1"/>
  <c r="L51" i="7" a="1"/>
  <c r="M50" i="7" a="1"/>
  <c r="F48" i="7"/>
  <c r="W46" i="7" a="1"/>
  <c r="X45" i="7" a="1"/>
  <c r="Q45" i="7" a="1"/>
  <c r="O64" i="7" a="1"/>
  <c r="R63" i="7" a="1"/>
  <c r="F63" i="7"/>
  <c r="J62" i="7" a="1"/>
  <c r="U61" i="7" a="1"/>
  <c r="X60" i="7" a="1"/>
  <c r="M60" i="7" a="1"/>
  <c r="Y57" i="7" a="1"/>
  <c r="F57" i="7"/>
  <c r="U56" i="7" a="1"/>
  <c r="Y55" i="7" a="1"/>
  <c r="F55" i="7"/>
  <c r="U54" i="7" a="1"/>
  <c r="L54" i="7" a="1"/>
  <c r="M52" i="7" a="1"/>
  <c r="S51" i="7" a="1"/>
  <c r="T49" i="7" a="1"/>
  <c r="M49" i="7" a="1"/>
  <c r="U48" i="7" a="1"/>
  <c r="V47" i="7" a="1"/>
  <c r="O47" i="7" a="1"/>
  <c r="O46" i="7" a="1"/>
  <c r="H46" i="7" a="1"/>
  <c r="I45" i="7" a="1"/>
  <c r="Q44" i="7" a="1"/>
  <c r="J44" i="7" a="1"/>
  <c r="Y43" i="7" a="1"/>
  <c r="S42" i="7" a="1"/>
  <c r="Y64" i="7" a="1"/>
  <c r="Q63" i="7" a="1"/>
  <c r="I62" i="7" a="1"/>
  <c r="W60" i="7" a="1"/>
  <c r="P59" i="7" a="1"/>
  <c r="F59" i="7"/>
  <c r="T58" i="7" a="1"/>
  <c r="K58" i="7" a="1"/>
  <c r="K56" i="7" a="1"/>
  <c r="O55" i="7" a="1"/>
  <c r="K54" i="7" a="1"/>
  <c r="Y53" i="7" a="1"/>
  <c r="P53" i="7" a="1"/>
  <c r="F53" i="7"/>
  <c r="T52" i="7" a="1"/>
  <c r="K51" i="7" a="1"/>
  <c r="S50" i="7" a="1"/>
  <c r="M48" i="7" a="1"/>
  <c r="E48" i="7" a="1"/>
  <c r="F47" i="7"/>
  <c r="W45" i="7" a="1"/>
  <c r="Q43" i="7" a="1"/>
  <c r="Y42" i="7" a="1"/>
  <c r="L42" i="7" a="1"/>
  <c r="O41" i="7" a="1"/>
  <c r="Q40" i="7" a="1"/>
  <c r="W63" i="7" a="1"/>
  <c r="O62" i="7" a="1"/>
  <c r="U59" i="7" a="1"/>
  <c r="Y58" i="7" a="1"/>
  <c r="F58" i="7"/>
  <c r="U57" i="7" a="1"/>
  <c r="L57" i="7" a="1"/>
  <c r="Y54" i="7" a="1"/>
  <c r="F54" i="7"/>
  <c r="U53" i="7" a="1"/>
  <c r="Y52" i="7" a="1"/>
  <c r="Q52" i="7" a="1"/>
  <c r="W50" i="7" a="1"/>
  <c r="P50" i="7" a="1"/>
  <c r="I50" i="7" a="1"/>
  <c r="I49" i="7" a="1"/>
  <c r="K47" i="7" a="1"/>
  <c r="S46" i="7" a="1"/>
  <c r="T64" i="7" a="1"/>
  <c r="I64" i="7" a="1"/>
  <c r="L63" i="7" a="1"/>
  <c r="O61" i="7" a="1"/>
  <c r="S64" i="7" a="1"/>
  <c r="K63" i="7" a="1"/>
  <c r="W62" i="7" a="1"/>
  <c r="Y61" i="7" a="1"/>
  <c r="Q60" i="7" a="1"/>
  <c r="S57" i="7" a="1"/>
  <c r="O56" i="7" a="1"/>
  <c r="S55" i="7" a="1"/>
  <c r="X54" i="7" a="1"/>
  <c r="O54" i="7" a="1"/>
  <c r="E54" i="7" a="1"/>
  <c r="O52" i="7" a="1"/>
  <c r="V50" i="7" a="1"/>
  <c r="O50" i="7" a="1"/>
  <c r="O49" i="7" a="1"/>
  <c r="H49" i="7" a="1"/>
  <c r="I48" i="7" a="1"/>
  <c r="Q47" i="7" a="1"/>
  <c r="J47" i="7" a="1"/>
  <c r="Y46" i="7" a="1"/>
  <c r="F61" i="7"/>
  <c r="F60" i="7"/>
  <c r="N55" i="7" a="1"/>
  <c r="Q54" i="7" a="1"/>
  <c r="S52" i="7" a="1"/>
  <c r="F51" i="7"/>
  <c r="K50" i="7" a="1"/>
  <c r="X48" i="7" a="1"/>
  <c r="U44" i="7" a="1"/>
  <c r="I44" i="7" a="1"/>
  <c r="K43" i="7" a="1"/>
  <c r="W42" i="7" a="1"/>
  <c r="U41" i="7" a="1"/>
  <c r="M41" i="7" a="1"/>
  <c r="S39" i="7" a="1"/>
  <c r="L39" i="7" a="1"/>
  <c r="T38" i="7" a="1"/>
  <c r="T37" i="7" a="1"/>
  <c r="M37" i="7" a="1"/>
  <c r="E37" i="7" a="1"/>
  <c r="M36" i="7" a="1"/>
  <c r="E36" i="7" a="1"/>
  <c r="U35" i="7" a="1"/>
  <c r="N35" i="7" a="1"/>
  <c r="U34" i="7" a="1"/>
  <c r="N34" i="7" a="1"/>
  <c r="F34" i="7"/>
  <c r="V33" i="7" a="1"/>
  <c r="F33" i="7"/>
  <c r="V32" i="7" a="1"/>
  <c r="O32" i="7" a="1"/>
  <c r="H32" i="7" a="1"/>
  <c r="O31" i="7" a="1"/>
  <c r="H31" i="7" a="1"/>
  <c r="W30" i="7" a="1"/>
  <c r="P30" i="7" a="1"/>
  <c r="W29" i="7" a="1"/>
  <c r="P29" i="7" a="1"/>
  <c r="I29" i="7" a="1"/>
  <c r="X28" i="7" a="1"/>
  <c r="I28" i="7" a="1"/>
  <c r="X27" i="7" a="1"/>
  <c r="Q27" i="7" a="1"/>
  <c r="J27" i="7" a="1"/>
  <c r="Q26" i="7" a="1"/>
  <c r="J26" i="7" a="1"/>
  <c r="Y25" i="7" a="1"/>
  <c r="R25" i="7" a="1"/>
  <c r="Y24" i="7" a="1"/>
  <c r="R24" i="7" a="1"/>
  <c r="K24" i="7" a="1"/>
  <c r="K23" i="7" a="1"/>
  <c r="S22" i="7" a="1"/>
  <c r="L22" i="7" a="1"/>
  <c r="S21" i="7" a="1"/>
  <c r="L21" i="7" a="1"/>
  <c r="T20" i="7" a="1"/>
  <c r="T19" i="7" a="1"/>
  <c r="M19" i="7" a="1"/>
  <c r="V18" i="7" a="1"/>
  <c r="O18" i="7" a="1"/>
  <c r="X17" i="7" a="1"/>
  <c r="K17" i="7" a="1"/>
  <c r="T16" i="7" a="1"/>
  <c r="F16" i="7"/>
  <c r="H58" i="7" a="1"/>
  <c r="K57" i="7" a="1"/>
  <c r="J56" i="7" a="1"/>
  <c r="M55" i="7" a="1"/>
  <c r="O53" i="7" a="1"/>
  <c r="X51" i="7" a="1"/>
  <c r="Q49" i="7" a="1"/>
  <c r="N46" i="7" a="1"/>
  <c r="U45" i="7" a="1"/>
  <c r="F45" i="7"/>
  <c r="U43" i="7" a="1"/>
  <c r="I43" i="7" a="1"/>
  <c r="E42" i="7" a="1"/>
  <c r="T40" i="7" a="1"/>
  <c r="S38" i="7" a="1"/>
  <c r="L38" i="7" a="1"/>
  <c r="T36" i="7" a="1"/>
  <c r="M35" i="7" a="1"/>
  <c r="E35" i="7" a="1"/>
  <c r="U33" i="7" a="1"/>
  <c r="N33" i="7" a="1"/>
  <c r="F32" i="7"/>
  <c r="V31" i="7" a="1"/>
  <c r="O30" i="7" a="1"/>
  <c r="H30" i="7" a="1"/>
  <c r="W28" i="7" a="1"/>
  <c r="P28" i="7" a="1"/>
  <c r="I27" i="7" a="1"/>
  <c r="X26" i="7" a="1"/>
  <c r="Q25" i="7" a="1"/>
  <c r="J25" i="7" a="1"/>
  <c r="Y23" i="7" a="1"/>
  <c r="R23" i="7" a="1"/>
  <c r="K22" i="7" a="1"/>
  <c r="S20" i="7" a="1"/>
  <c r="L20" i="7" a="1"/>
  <c r="E19" i="7" a="1"/>
  <c r="U18" i="7" a="1"/>
  <c r="H18" i="7" a="1"/>
  <c r="Q17" i="7" a="1"/>
  <c r="M16" i="7" a="1"/>
  <c r="U64" i="7" a="1"/>
  <c r="E57" i="7" a="1"/>
  <c r="I56" i="7" a="1"/>
  <c r="W51" i="7" a="1"/>
  <c r="J50" i="7" a="1"/>
  <c r="S48" i="7" a="1"/>
  <c r="M42" i="7" a="1"/>
  <c r="L41" i="7" a="1"/>
  <c r="S40" i="7" a="1"/>
  <c r="K40" i="7" a="1"/>
  <c r="R39" i="7" a="1"/>
  <c r="K39" i="7" a="1"/>
  <c r="K38" i="7" a="1"/>
  <c r="S37" i="7" a="1"/>
  <c r="L37" i="7" a="1"/>
  <c r="S36" i="7" a="1"/>
  <c r="L36" i="7" a="1"/>
  <c r="T35" i="7" a="1"/>
  <c r="T34" i="7" a="1"/>
  <c r="M34" i="7" a="1"/>
  <c r="E34" i="7" a="1"/>
  <c r="M33" i="7" a="1"/>
  <c r="E33" i="7" a="1"/>
  <c r="U32" i="7" a="1"/>
  <c r="N32" i="7" a="1"/>
  <c r="U31" i="7" a="1"/>
  <c r="N31" i="7" a="1"/>
  <c r="F31" i="7"/>
  <c r="V30" i="7" a="1"/>
  <c r="F30" i="7"/>
  <c r="V29" i="7" a="1"/>
  <c r="O29" i="7" a="1"/>
  <c r="H29" i="7" a="1"/>
  <c r="O28" i="7" a="1"/>
  <c r="H28" i="7" a="1"/>
  <c r="W27" i="7" a="1"/>
  <c r="P27" i="7" a="1"/>
  <c r="W26" i="7" a="1"/>
  <c r="P26" i="7" a="1"/>
  <c r="I26" i="7" a="1"/>
  <c r="X25" i="7" a="1"/>
  <c r="I25" i="7" a="1"/>
  <c r="X24" i="7" a="1"/>
  <c r="Q24" i="7" a="1"/>
  <c r="J24" i="7" a="1"/>
  <c r="Q23" i="7" a="1"/>
  <c r="J23" i="7" a="1"/>
  <c r="Y22" i="7" a="1"/>
  <c r="R22" i="7" a="1"/>
  <c r="Y21" i="7" a="1"/>
  <c r="R21" i="7" a="1"/>
  <c r="K21" i="7" a="1"/>
  <c r="K20" i="7" a="1"/>
  <c r="S19" i="7" a="1"/>
  <c r="L19" i="7" a="1"/>
  <c r="N18" i="7" a="1"/>
  <c r="W17" i="7" a="1"/>
  <c r="J17" i="7" a="1"/>
  <c r="S16" i="7" a="1"/>
  <c r="E16" i="7" a="1"/>
  <c r="N64" i="7" a="1"/>
  <c r="M63" i="7" a="1"/>
  <c r="W59" i="7" a="1"/>
  <c r="K55" i="7" a="1"/>
  <c r="R51" i="7" a="1"/>
  <c r="Y50" i="7" a="1"/>
  <c r="Y47" i="7" a="1"/>
  <c r="M46" i="7" a="1"/>
  <c r="E45" i="7" a="1"/>
  <c r="F44" i="7"/>
  <c r="T43" i="7" a="1"/>
  <c r="H43" i="7" a="1"/>
  <c r="U42" i="7" a="1"/>
  <c r="S41" i="7" a="1"/>
  <c r="J40" i="7" a="1"/>
  <c r="Y39" i="7" a="1"/>
  <c r="Y38" i="7" a="1"/>
  <c r="R38" i="7" a="1"/>
  <c r="K37" i="7" a="1"/>
  <c r="S35" i="7" a="1"/>
  <c r="L35" i="7" a="1"/>
  <c r="T33" i="7" a="1"/>
  <c r="M32" i="7" a="1"/>
  <c r="E32" i="7" a="1"/>
  <c r="U30" i="7" a="1"/>
  <c r="N30" i="7" a="1"/>
  <c r="F29" i="7"/>
  <c r="V28" i="7" a="1"/>
  <c r="O27" i="7" a="1"/>
  <c r="H27" i="7" a="1"/>
  <c r="W25" i="7" a="1"/>
  <c r="P25" i="7" a="1"/>
  <c r="I24" i="7" a="1"/>
  <c r="X23" i="7" a="1"/>
  <c r="Q22" i="7" a="1"/>
  <c r="J22" i="7" a="1"/>
  <c r="Y20" i="7" a="1"/>
  <c r="R20" i="7" a="1"/>
  <c r="K19" i="7" a="1"/>
  <c r="T18" i="7" a="1"/>
  <c r="F18" i="7"/>
  <c r="P17" i="7" a="1"/>
  <c r="M64" i="7" a="1"/>
  <c r="E63" i="7" a="1"/>
  <c r="X57" i="7" a="1"/>
  <c r="F56" i="7"/>
  <c r="I54" i="7" a="1"/>
  <c r="M53" i="7" a="1"/>
  <c r="K49" i="7" a="1"/>
  <c r="R48" i="7" a="1"/>
  <c r="U47" i="7" a="1"/>
  <c r="S45" i="7" a="1"/>
  <c r="P44" i="7" a="1"/>
  <c r="T42" i="7" a="1"/>
  <c r="K41" i="7" a="1"/>
  <c r="Q39" i="7" a="1"/>
  <c r="J39" i="7" a="1"/>
  <c r="Q38" i="7" a="1"/>
  <c r="J38" i="7" a="1"/>
  <c r="Y37" i="7" a="1"/>
  <c r="R37" i="7" a="1"/>
  <c r="Y36" i="7" a="1"/>
  <c r="R36" i="7" a="1"/>
  <c r="K36" i="7" a="1"/>
  <c r="K35" i="7" a="1"/>
  <c r="S34" i="7" a="1"/>
  <c r="L34" i="7" a="1"/>
  <c r="S33" i="7" a="1"/>
  <c r="L33" i="7" a="1"/>
  <c r="T32" i="7" a="1"/>
  <c r="T31" i="7" a="1"/>
  <c r="M31" i="7" a="1"/>
  <c r="E31" i="7" a="1"/>
  <c r="M30" i="7" a="1"/>
  <c r="E30" i="7" a="1"/>
  <c r="U29" i="7" a="1"/>
  <c r="N29" i="7" a="1"/>
  <c r="U28" i="7" a="1"/>
  <c r="N28" i="7" a="1"/>
  <c r="F28" i="7"/>
  <c r="V27" i="7" a="1"/>
  <c r="F27" i="7"/>
  <c r="V26" i="7" a="1"/>
  <c r="O26" i="7" a="1"/>
  <c r="H26" i="7" a="1"/>
  <c r="O25" i="7" a="1"/>
  <c r="H25" i="7" a="1"/>
  <c r="W24" i="7" a="1"/>
  <c r="P24" i="7" a="1"/>
  <c r="W23" i="7" a="1"/>
  <c r="P23" i="7" a="1"/>
  <c r="I23" i="7" a="1"/>
  <c r="X22" i="7" a="1"/>
  <c r="I22" i="7" a="1"/>
  <c r="X21" i="7" a="1"/>
  <c r="Q21" i="7" a="1"/>
  <c r="J21" i="7" a="1"/>
  <c r="Q20" i="7" a="1"/>
  <c r="J20" i="7" a="1"/>
  <c r="Y19" i="7" a="1"/>
  <c r="R19" i="7" a="1"/>
  <c r="T61" i="7" a="1"/>
  <c r="V59" i="7" a="1"/>
  <c r="S58" i="7" a="1"/>
  <c r="W57" i="7" a="1"/>
  <c r="K53" i="7" a="1"/>
  <c r="K52" i="7" a="1"/>
  <c r="Q51" i="7" a="1"/>
  <c r="Q48" i="7" a="1"/>
  <c r="K46" i="7" a="1"/>
  <c r="O45" i="7" a="1"/>
  <c r="F43" i="7"/>
  <c r="K42" i="7" a="1"/>
  <c r="R41" i="7" a="1"/>
  <c r="J41" i="7" a="1"/>
  <c r="Y40" i="7" a="1"/>
  <c r="I40" i="7" a="1"/>
  <c r="X39" i="7" a="1"/>
  <c r="I39" i="7" a="1"/>
  <c r="X38" i="7" a="1"/>
  <c r="Q37" i="7" a="1"/>
  <c r="J37" i="7" a="1"/>
  <c r="Y35" i="7" a="1"/>
  <c r="R35" i="7" a="1"/>
  <c r="K34" i="7" a="1"/>
  <c r="S32" i="7" a="1"/>
  <c r="L32" i="7" a="1"/>
  <c r="T30" i="7" a="1"/>
  <c r="M29" i="7" a="1"/>
  <c r="E29" i="7" a="1"/>
  <c r="U27" i="7" a="1"/>
  <c r="N27" i="7" a="1"/>
  <c r="F26" i="7"/>
  <c r="V25" i="7" a="1"/>
  <c r="O24" i="7" a="1"/>
  <c r="H24" i="7" a="1"/>
  <c r="W22" i="7" a="1"/>
  <c r="P22" i="7" a="1"/>
  <c r="I21" i="7" a="1"/>
  <c r="X20" i="7" a="1"/>
  <c r="Q19" i="7" a="1"/>
  <c r="J19" i="7" a="1"/>
  <c r="S18" i="7" a="1"/>
  <c r="E18" i="7" a="1"/>
  <c r="O17" i="7" a="1"/>
  <c r="X16" i="7" a="1"/>
  <c r="Q16" i="7" a="1"/>
  <c r="Y63" i="7" a="1"/>
  <c r="Q62" i="7" a="1"/>
  <c r="I61" i="7" a="1"/>
  <c r="K60" i="7" a="1"/>
  <c r="O58" i="7" a="1"/>
  <c r="O57" i="7" a="1"/>
  <c r="U55" i="7" a="1"/>
  <c r="S54" i="7" a="1"/>
  <c r="W53" i="7" a="1"/>
  <c r="Q50" i="7" a="1"/>
  <c r="W49" i="7" a="1"/>
  <c r="K48" i="7" a="1"/>
  <c r="M44" i="7" a="1"/>
  <c r="N43" i="7" a="1"/>
  <c r="W41" i="7" a="1"/>
  <c r="F41" i="7"/>
  <c r="V40" i="7" a="1"/>
  <c r="F40" i="7"/>
  <c r="U39" i="7" a="1"/>
  <c r="N39" i="7" a="1"/>
  <c r="F38" i="7"/>
  <c r="V37" i="7" a="1"/>
  <c r="O36" i="7" a="1"/>
  <c r="H36" i="7" a="1"/>
  <c r="W34" i="7" a="1"/>
  <c r="P34" i="7" a="1"/>
  <c r="I33" i="7" a="1"/>
  <c r="X32" i="7" a="1"/>
  <c r="Q31" i="7" a="1"/>
  <c r="J31" i="7" a="1"/>
  <c r="Y29" i="7" a="1"/>
  <c r="R29" i="7" a="1"/>
  <c r="K28" i="7" a="1"/>
  <c r="S26" i="7" a="1"/>
  <c r="L26" i="7" a="1"/>
  <c r="T24" i="7" a="1"/>
  <c r="M23" i="7" a="1"/>
  <c r="E23" i="7" a="1"/>
  <c r="M59" i="7" a="1"/>
  <c r="Q56" i="7" a="1"/>
  <c r="T55" i="7" a="1"/>
  <c r="I51" i="7" a="1"/>
  <c r="S49" i="7" a="1"/>
  <c r="M47" i="7" a="1"/>
  <c r="T46" i="7" a="1"/>
  <c r="L45" i="7" a="1"/>
  <c r="V44" i="7" a="1"/>
  <c r="W43" i="7" a="1"/>
  <c r="X42" i="7" a="1"/>
  <c r="H42" i="7" a="1"/>
  <c r="N40" i="7" a="1"/>
  <c r="M39" i="7" a="1"/>
  <c r="E39" i="7" a="1"/>
  <c r="U38" i="7" a="1"/>
  <c r="N38" i="7" a="1"/>
  <c r="U37" i="7" a="1"/>
  <c r="N37" i="7" a="1"/>
  <c r="F37" i="7"/>
  <c r="V36" i="7" a="1"/>
  <c r="F36" i="7"/>
  <c r="V35" i="7" a="1"/>
  <c r="O35" i="7" a="1"/>
  <c r="H35" i="7" a="1"/>
  <c r="O34" i="7" a="1"/>
  <c r="H34" i="7" a="1"/>
  <c r="W33" i="7" a="1"/>
  <c r="P33" i="7" a="1"/>
  <c r="W32" i="7" a="1"/>
  <c r="P32" i="7" a="1"/>
  <c r="I32" i="7" a="1"/>
  <c r="X31" i="7" a="1"/>
  <c r="I31" i="7" a="1"/>
  <c r="X30" i="7" a="1"/>
  <c r="Q30" i="7" a="1"/>
  <c r="J30" i="7" a="1"/>
  <c r="Q29" i="7" a="1"/>
  <c r="J29" i="7" a="1"/>
  <c r="Y28" i="7" a="1"/>
  <c r="R28" i="7" a="1"/>
  <c r="Y27" i="7" a="1"/>
  <c r="R27" i="7" a="1"/>
  <c r="K27" i="7" a="1"/>
  <c r="K26" i="7" a="1"/>
  <c r="S25" i="7" a="1"/>
  <c r="L25" i="7" a="1"/>
  <c r="X63" i="7" a="1"/>
  <c r="P62" i="7" a="1"/>
  <c r="H61" i="7" a="1"/>
  <c r="K59" i="7" a="1"/>
  <c r="I58" i="7" a="1"/>
  <c r="M57" i="7" a="1"/>
  <c r="P56" i="7" a="1"/>
  <c r="R54" i="7" a="1"/>
  <c r="V53" i="7" a="1"/>
  <c r="Y51" i="7" a="1"/>
  <c r="Y48" i="7" a="1"/>
  <c r="M43" i="7" a="1"/>
  <c r="O42" i="7" a="1"/>
  <c r="F42" i="7"/>
  <c r="V41" i="7" a="1"/>
  <c r="E41" i="7" a="1"/>
  <c r="U40" i="7" a="1"/>
  <c r="T39" i="7" a="1"/>
  <c r="M38" i="7" a="1"/>
  <c r="E38" i="7" a="1"/>
  <c r="U36" i="7" a="1"/>
  <c r="N36" i="7" a="1"/>
  <c r="F35" i="7"/>
  <c r="V34" i="7" a="1"/>
  <c r="O33" i="7" a="1"/>
  <c r="H33" i="7" a="1"/>
  <c r="W31" i="7" a="1"/>
  <c r="P31" i="7" a="1"/>
  <c r="I30" i="7" a="1"/>
  <c r="X29" i="7" a="1"/>
  <c r="Q28" i="7" a="1"/>
  <c r="J28" i="7" a="1"/>
  <c r="Y26" i="7" a="1"/>
  <c r="V38" i="7" a="1"/>
  <c r="P37" i="7" a="1"/>
  <c r="J36" i="7" a="1"/>
  <c r="I35" i="7" a="1"/>
  <c r="Y33" i="7" a="1"/>
  <c r="L31" i="7" a="1"/>
  <c r="T28" i="7" a="1"/>
  <c r="S27" i="7" a="1"/>
  <c r="N26" i="7" a="1"/>
  <c r="S24" i="7" a="1"/>
  <c r="F23" i="7"/>
  <c r="W21" i="7" a="1"/>
  <c r="E20" i="7" a="1"/>
  <c r="N19" i="7" a="1"/>
  <c r="X18" i="7" a="1"/>
  <c r="L18" i="7" a="1"/>
  <c r="O16" i="7" a="1"/>
  <c r="Y56" i="7" a="1"/>
  <c r="W39" i="7" a="1"/>
  <c r="P38" i="7" a="1"/>
  <c r="O37" i="7" a="1"/>
  <c r="I36" i="7" a="1"/>
  <c r="R32" i="7" a="1"/>
  <c r="K31" i="7" a="1"/>
  <c r="M27" i="7" a="1"/>
  <c r="M26" i="7" a="1"/>
  <c r="N25" i="7" a="1"/>
  <c r="V23" i="7" a="1"/>
  <c r="N22" i="7" a="1"/>
  <c r="H21" i="7" a="1"/>
  <c r="P20" i="7" a="1"/>
  <c r="V17" i="7" a="1"/>
  <c r="L17" i="7" a="1"/>
  <c r="W16" i="7" a="1"/>
  <c r="O59" i="7" a="1"/>
  <c r="L48" i="7" a="1"/>
  <c r="I42" i="7" a="1"/>
  <c r="I37" i="7" a="1"/>
  <c r="Y34" i="7" a="1"/>
  <c r="X33" i="7" a="1"/>
  <c r="Q32" i="7" a="1"/>
  <c r="S28" i="7" a="1"/>
  <c r="V21" i="7" a="1"/>
  <c r="F21" i="7"/>
  <c r="X19" i="7" a="1"/>
  <c r="W18" i="7" a="1"/>
  <c r="K18" i="7" a="1"/>
  <c r="U17" i="7" a="1"/>
  <c r="N16" i="7" a="1"/>
  <c r="S56" i="7" a="1"/>
  <c r="W40" i="7" a="1"/>
  <c r="P39" i="7" a="1"/>
  <c r="O38" i="7" a="1"/>
  <c r="R33" i="7" a="1"/>
  <c r="K32" i="7" a="1"/>
  <c r="T29" i="7" a="1"/>
  <c r="M28" i="7" a="1"/>
  <c r="L27" i="7" a="1"/>
  <c r="M25" i="7" a="1"/>
  <c r="N24" i="7" a="1"/>
  <c r="U23" i="7" a="1"/>
  <c r="M22" i="7" a="1"/>
  <c r="U21" i="7" a="1"/>
  <c r="O20" i="7" a="1"/>
  <c r="W19" i="7" a="1"/>
  <c r="I17" i="7" a="1"/>
  <c r="V16" i="7" a="1"/>
  <c r="L16" i="7" a="1"/>
  <c r="O43" i="7" a="1"/>
  <c r="Y41" i="7" a="1"/>
  <c r="O39" i="7" a="1"/>
  <c r="I38" i="7" a="1"/>
  <c r="H37" i="7" a="1"/>
  <c r="X34" i="7" a="1"/>
  <c r="S29" i="7" a="1"/>
  <c r="E27" i="7" a="1"/>
  <c r="K25" i="7" a="1"/>
  <c r="M24" i="7" a="1"/>
  <c r="T23" i="7" a="1"/>
  <c r="E21" i="7" a="1"/>
  <c r="I19" i="7" a="1"/>
  <c r="J18" i="7" a="1"/>
  <c r="T17" i="7" a="1"/>
  <c r="H17" i="7" a="1"/>
  <c r="K16" i="7" a="1"/>
  <c r="S60" i="7" a="1"/>
  <c r="O44" i="7" a="1"/>
  <c r="R42" i="7" a="1"/>
  <c r="P41" i="7" a="1"/>
  <c r="H40" i="7" a="1"/>
  <c r="W37" i="7" a="1"/>
  <c r="Q36" i="7" a="1"/>
  <c r="P35" i="7" a="1"/>
  <c r="J34" i="7" a="1"/>
  <c r="S31" i="7" a="1"/>
  <c r="L30" i="7" a="1"/>
  <c r="U25" i="7" a="1"/>
  <c r="V24" i="7" a="1"/>
  <c r="E24" i="7" a="1"/>
  <c r="T22" i="7" a="1"/>
  <c r="E22" i="7" a="1"/>
  <c r="N21" i="7" a="1"/>
  <c r="V20" i="7" a="1"/>
  <c r="H20" i="7" a="1"/>
  <c r="P19" i="7" a="1"/>
  <c r="H16" i="7" a="1"/>
  <c r="R60" i="7" a="1"/>
  <c r="U46" i="7" a="1"/>
  <c r="W38" i="7" a="1"/>
  <c r="J35" i="7" a="1"/>
  <c r="I34" i="7" a="1"/>
  <c r="Y32" i="7" a="1"/>
  <c r="T26" i="7" a="1"/>
  <c r="U24" i="7" a="1"/>
  <c r="L23" i="7" a="1"/>
  <c r="M21" i="7" a="1"/>
  <c r="F20" i="7"/>
  <c r="O19" i="7" a="1"/>
  <c r="Y18" i="7" a="1"/>
  <c r="P18" i="7" a="1"/>
  <c r="N17" i="7" a="1"/>
  <c r="P16" i="7" a="1"/>
  <c r="L60" i="7" a="1"/>
  <c r="O51" i="7" a="1"/>
  <c r="F46" i="7"/>
  <c r="Q42" i="7" a="1"/>
  <c r="I41" i="7" a="1"/>
  <c r="P36" i="7" a="1"/>
  <c r="R31" i="7" a="1"/>
  <c r="K30" i="7" a="1"/>
  <c r="T27" i="7" a="1"/>
  <c r="R26" i="7" a="1"/>
  <c r="T25" i="7" a="1"/>
  <c r="H23" i="7" a="1"/>
  <c r="O22" i="7" a="1"/>
  <c r="U20" i="7" a="1"/>
  <c r="M18" i="7" a="1"/>
  <c r="Y17" i="7" a="1"/>
  <c r="M17" i="7" a="1"/>
  <c r="Y16" i="7" a="1"/>
  <c r="S30" i="7" a="1"/>
  <c r="E25" i="7" a="1"/>
  <c r="S47" i="7" a="1"/>
  <c r="W36" i="7" a="1"/>
  <c r="Q33" i="7" a="1"/>
  <c r="V22" i="7" a="1"/>
  <c r="U16" i="7" a="1"/>
  <c r="I52" i="7" a="1"/>
  <c r="K33" i="7" a="1"/>
  <c r="R30" i="7" a="1"/>
  <c r="L24" i="7" a="1"/>
  <c r="U22" i="7" a="1"/>
  <c r="Q58" i="7" a="1"/>
  <c r="H52" i="7" a="1"/>
  <c r="H39" i="7" a="1"/>
  <c r="X35" i="7" a="1"/>
  <c r="W20" i="7" a="1"/>
  <c r="H19" i="7" a="1"/>
  <c r="X41" i="7" a="1"/>
  <c r="F39" i="7"/>
  <c r="W35" i="7" a="1"/>
  <c r="J33" i="7" a="1"/>
  <c r="F24" i="7"/>
  <c r="H22" i="7" a="1"/>
  <c r="S17" i="7" a="1"/>
  <c r="R16" i="7" a="1"/>
  <c r="M45" i="7" a="1"/>
  <c r="Q35" i="7" a="1"/>
  <c r="U26" i="7" a="1"/>
  <c r="N20" i="7" a="1"/>
  <c r="F19" i="7"/>
  <c r="J16" i="7" a="1"/>
  <c r="X37" i="7" a="1"/>
  <c r="Q34" i="7" a="1"/>
  <c r="Y31" i="7" a="1"/>
  <c r="L28" i="7" a="1"/>
  <c r="T21" i="7" a="1"/>
  <c r="O40" i="7" a="1"/>
  <c r="E28" i="7" a="1"/>
  <c r="F25" i="7"/>
  <c r="N23" i="7" a="1"/>
  <c r="P21" i="7" a="1"/>
  <c r="V19" i="7" a="1"/>
  <c r="Q18" i="7" a="1"/>
  <c r="E17" i="7" a="1"/>
  <c r="X36" i="7" a="1"/>
  <c r="Y30" i="7" a="1"/>
  <c r="O21" i="7" a="1"/>
  <c r="U19" i="7" a="1"/>
  <c r="I18" i="7" a="1"/>
  <c r="F17" i="7"/>
  <c r="R34" i="7" a="1"/>
  <c r="Y49" i="7" a="1"/>
  <c r="E26" i="7" a="1"/>
  <c r="M20" i="7" a="1"/>
  <c r="P40" i="7" a="1"/>
  <c r="I20" i="7" a="1"/>
  <c r="I16" i="7" a="1"/>
  <c r="J32" i="7" a="1"/>
  <c r="Y44" i="7" a="1"/>
  <c r="O23" i="7" a="1"/>
  <c r="R18" i="7" a="1"/>
  <c r="S61" i="7" a="1"/>
  <c r="W44" i="7" a="1"/>
  <c r="L29" i="7" a="1"/>
  <c r="K29" i="7" a="1"/>
  <c r="F22" i="7"/>
  <c r="R17" i="7" a="1"/>
  <c r="W55" i="7" a="1"/>
  <c r="S23" i="7" a="1"/>
  <c r="H38" i="7" a="1"/>
  <c r="A16" i="6"/>
  <c r="A17" i="6"/>
  <c r="A18" i="6" s="1"/>
  <c r="B50" i="8"/>
  <c r="L31" i="6"/>
  <c r="A14" i="6"/>
  <c r="A11" i="6"/>
  <c r="C147" i="3"/>
  <c r="C149" i="3"/>
  <c r="C145" i="3"/>
  <c r="C143" i="3"/>
  <c r="C141" i="3"/>
  <c r="U11" i="4"/>
  <c r="U10" i="4"/>
  <c r="Y26" i="4"/>
  <c r="Z26" i="4" s="1"/>
  <c r="Y106" i="4"/>
  <c r="Z106" i="4" s="1"/>
  <c r="Y66" i="4"/>
  <c r="Z66" i="4" s="1"/>
  <c r="R64" i="4"/>
  <c r="R63" i="4"/>
  <c r="R23" i="4"/>
  <c r="R24" i="4"/>
  <c r="C133" i="3"/>
  <c r="AF20" i="5" l="1" a="1"/>
  <c r="B27" i="5"/>
  <c r="B27" i="6"/>
  <c r="AF27" i="5" a="1"/>
  <c r="N27" i="5"/>
  <c r="D27" i="6" s="1"/>
  <c r="G27" i="6" s="1"/>
  <c r="E27" i="5"/>
  <c r="F27" i="5"/>
  <c r="G27" i="5"/>
  <c r="AD27" i="5"/>
  <c r="H27" i="5"/>
  <c r="A27" i="12"/>
  <c r="AE27" i="5" a="1"/>
  <c r="C28" i="5"/>
  <c r="E30" i="12"/>
  <c r="F30" i="6"/>
  <c r="N18" i="6"/>
  <c r="A19" i="6"/>
  <c r="A20" i="6" s="1"/>
  <c r="L32" i="6"/>
  <c r="B53" i="8"/>
  <c r="X26" i="4"/>
  <c r="X106" i="4"/>
  <c r="X66" i="4"/>
  <c r="C137" i="3"/>
  <c r="C135" i="3"/>
  <c r="C132" i="3"/>
  <c r="R20" i="5" l="1" a="1"/>
  <c r="F28" i="5"/>
  <c r="AG27" i="5" a="1"/>
  <c r="S27" i="5" a="1"/>
  <c r="F27" i="12" s="1" a="1"/>
  <c r="A28" i="12"/>
  <c r="C29" i="5"/>
  <c r="AD28" i="5"/>
  <c r="N28" i="5"/>
  <c r="D28" i="6" s="1"/>
  <c r="AE28" i="5" a="1"/>
  <c r="K28" i="5"/>
  <c r="J28" i="5"/>
  <c r="D28" i="5"/>
  <c r="B28" i="12" s="1"/>
  <c r="B28" i="6"/>
  <c r="H28" i="5"/>
  <c r="G28" i="5"/>
  <c r="B28" i="5"/>
  <c r="E28" i="5"/>
  <c r="N20" i="6"/>
  <c r="N19" i="6"/>
  <c r="A21" i="6"/>
  <c r="B56" i="8"/>
  <c r="L33" i="6"/>
  <c r="C128" i="3"/>
  <c r="R2" i="5" a="1"/>
  <c r="AH13" i="5" a="1"/>
  <c r="V13" i="5" a="1"/>
  <c r="U13" i="5" a="1"/>
  <c r="X7" i="5" a="1"/>
  <c r="W7" i="5" a="1"/>
  <c r="V7" i="5" a="1"/>
  <c r="S7" i="5" a="1"/>
  <c r="R7" i="5" a="1"/>
  <c r="S8" i="5" a="1"/>
  <c r="R8" i="5" a="1"/>
  <c r="Q8" i="5" a="1"/>
  <c r="H13" i="7"/>
  <c r="E13" i="7"/>
  <c r="F20" i="12" l="1" a="1"/>
  <c r="G20" i="6"/>
  <c r="F20" i="6"/>
  <c r="E20" i="12"/>
  <c r="D29" i="5"/>
  <c r="B29" i="12" s="1"/>
  <c r="B29" i="5"/>
  <c r="C30" i="5" s="1"/>
  <c r="H29" i="5"/>
  <c r="N29" i="5"/>
  <c r="D29" i="6" s="1"/>
  <c r="E29" i="5"/>
  <c r="F29" i="5"/>
  <c r="B29" i="6"/>
  <c r="AE29" i="5" a="1"/>
  <c r="G29" i="5"/>
  <c r="AD29" i="5"/>
  <c r="J29" i="5"/>
  <c r="K29" i="5"/>
  <c r="A29" i="12"/>
  <c r="B59" i="8"/>
  <c r="L34" i="6"/>
  <c r="A22" i="6"/>
  <c r="N21" i="6"/>
  <c r="J4" i="15"/>
  <c r="AB13" i="12" a="1"/>
  <c r="I69" i="10"/>
  <c r="AF30" i="5" l="1" a="1"/>
  <c r="B30" i="6"/>
  <c r="F30" i="5"/>
  <c r="AD30" i="5"/>
  <c r="C31" i="5"/>
  <c r="A30" i="12"/>
  <c r="N30" i="5"/>
  <c r="D30" i="6" s="1"/>
  <c r="G30" i="6" s="1"/>
  <c r="AE30" i="5" a="1"/>
  <c r="H30" i="5"/>
  <c r="G30" i="5"/>
  <c r="B30" i="5"/>
  <c r="E30" i="5"/>
  <c r="AF28" i="5" a="1"/>
  <c r="A23" i="6"/>
  <c r="N22" i="6"/>
  <c r="AO23" i="13"/>
  <c r="AO21" i="13"/>
  <c r="AO19" i="13"/>
  <c r="AO17" i="13"/>
  <c r="AO15" i="13"/>
  <c r="G162" i="8" a="1"/>
  <c r="G156" i="8" a="1"/>
  <c r="G150" i="8" a="1"/>
  <c r="AK22" i="13" a="1"/>
  <c r="AK20" i="13" a="1"/>
  <c r="AK18" i="13" a="1"/>
  <c r="AK16" i="13" a="1"/>
  <c r="AK14" i="13" a="1"/>
  <c r="AN23" i="13" a="1"/>
  <c r="AN21" i="13" a="1"/>
  <c r="AN19" i="13" a="1"/>
  <c r="AN17" i="13" a="1"/>
  <c r="AN15" i="13" a="1"/>
  <c r="AJ22" i="13" a="1"/>
  <c r="AJ20" i="13" a="1"/>
  <c r="AJ18" i="13" a="1"/>
  <c r="AJ16" i="13" a="1"/>
  <c r="AJ14" i="13" a="1"/>
  <c r="AM23" i="13" a="1"/>
  <c r="AN20" i="13" a="1"/>
  <c r="AM17" i="13" a="1"/>
  <c r="AN14" i="13" a="1"/>
  <c r="AL23" i="13"/>
  <c r="AJ21" i="13" a="1"/>
  <c r="AL17" i="13"/>
  <c r="AJ15" i="13" a="1"/>
  <c r="AO22" i="13"/>
  <c r="AM20" i="13" a="1"/>
  <c r="AO16" i="13"/>
  <c r="AM14" i="13" a="1"/>
  <c r="AK23" i="13" a="1"/>
  <c r="AL20" i="13"/>
  <c r="AK17" i="13" a="1"/>
  <c r="AL14" i="13"/>
  <c r="AN22" i="13" a="1"/>
  <c r="AM19" i="13" a="1"/>
  <c r="AN16" i="13" a="1"/>
  <c r="G153" i="8" a="1"/>
  <c r="AL21" i="13"/>
  <c r="AJ19" i="13" a="1"/>
  <c r="AL15" i="13"/>
  <c r="AO20" i="13"/>
  <c r="AM18" i="13" a="1"/>
  <c r="AO14" i="13"/>
  <c r="AK21" i="13" a="1"/>
  <c r="AL18" i="13"/>
  <c r="AK15" i="13" a="1"/>
  <c r="AJ23" i="13" a="1"/>
  <c r="AM22" i="13" a="1"/>
  <c r="AM21" i="13" a="1"/>
  <c r="G159" i="8" a="1"/>
  <c r="AL22" i="13"/>
  <c r="G147" i="8" a="1"/>
  <c r="G138" i="8" a="1"/>
  <c r="AM16" i="13" a="1"/>
  <c r="AM15" i="13" a="1"/>
  <c r="G120" i="8" a="1"/>
  <c r="AO18" i="13"/>
  <c r="AJ17" i="13" a="1"/>
  <c r="AK19" i="13" a="1"/>
  <c r="AL19" i="13"/>
  <c r="G126" i="8" a="1"/>
  <c r="AL16" i="13"/>
  <c r="G141" i="8" a="1"/>
  <c r="G117" i="8" a="1"/>
  <c r="G123" i="8" a="1"/>
  <c r="G144" i="8" a="1"/>
  <c r="G111" i="8" a="1"/>
  <c r="G102" i="8" a="1"/>
  <c r="G108" i="8" a="1"/>
  <c r="G96" i="8" a="1"/>
  <c r="AN18" i="13" a="1"/>
  <c r="G132" i="8" a="1"/>
  <c r="G84" i="8" a="1"/>
  <c r="G78" i="8" a="1"/>
  <c r="G72" i="8" a="1"/>
  <c r="G66" i="8" a="1"/>
  <c r="G60" i="8" a="1"/>
  <c r="G54" i="8" a="1"/>
  <c r="G135" i="8" a="1"/>
  <c r="G99" i="8" a="1"/>
  <c r="G129" i="8" a="1"/>
  <c r="G90" i="8" a="1"/>
  <c r="G69" i="8" a="1"/>
  <c r="G42" i="8" a="1"/>
  <c r="G36" i="8" a="1"/>
  <c r="G30" i="8" a="1"/>
  <c r="G24" i="8" a="1"/>
  <c r="G18" i="8" a="1"/>
  <c r="G87" i="8" a="1"/>
  <c r="G114" i="8" a="1"/>
  <c r="G48" i="8" a="1"/>
  <c r="G93" i="8" a="1"/>
  <c r="G75" i="8" a="1"/>
  <c r="G21" i="8" a="1"/>
  <c r="G57" i="8" a="1"/>
  <c r="G51" i="8" a="1"/>
  <c r="G15" i="8" a="1"/>
  <c r="G81" i="8" a="1"/>
  <c r="G45" i="8" a="1"/>
  <c r="G33" i="8" a="1"/>
  <c r="G63" i="8" a="1"/>
  <c r="G39" i="8" a="1"/>
  <c r="G27" i="8" a="1"/>
  <c r="G105" i="8" a="1"/>
  <c r="P7" i="13"/>
  <c r="K14" i="13" a="1"/>
  <c r="B62" i="8"/>
  <c r="L35" i="6"/>
  <c r="L36" i="6" s="1"/>
  <c r="G22" i="15" a="1"/>
  <c r="C22" i="15" a="1"/>
  <c r="F10" i="12" a="1"/>
  <c r="F8" i="7"/>
  <c r="M8" i="12" a="1"/>
  <c r="H176" i="8" a="1"/>
  <c r="H174" i="8" a="1"/>
  <c r="F7" i="6" a="1"/>
  <c r="F6" i="6" a="1"/>
  <c r="Q1" i="6" a="1"/>
  <c r="O1" i="6" a="1"/>
  <c r="C11" i="7" a="1"/>
  <c r="C122" i="3"/>
  <c r="C120" i="3"/>
  <c r="AG20" i="5" l="1" a="1"/>
  <c r="S30" i="5" a="1"/>
  <c r="F30" i="12" s="1" a="1"/>
  <c r="AG30" i="5" a="1"/>
  <c r="K31" i="5"/>
  <c r="F31" i="5"/>
  <c r="B31" i="6"/>
  <c r="D31" i="5"/>
  <c r="B31" i="12" s="1"/>
  <c r="G31" i="5"/>
  <c r="E31" i="5"/>
  <c r="J31" i="5"/>
  <c r="B31" i="5"/>
  <c r="AD31" i="5"/>
  <c r="N31" i="5"/>
  <c r="D31" i="6" s="1"/>
  <c r="C32" i="5"/>
  <c r="A31" i="12"/>
  <c r="AE31" i="5" a="1"/>
  <c r="H31" i="5"/>
  <c r="AG28" i="5" a="1"/>
  <c r="R28" i="5" a="1"/>
  <c r="AF25" i="5" a="1"/>
  <c r="AF26" i="5" a="1"/>
  <c r="L37" i="6"/>
  <c r="B65" i="8"/>
  <c r="A24" i="6"/>
  <c r="A25" i="6" s="1"/>
  <c r="N23" i="6"/>
  <c r="C14" i="14" a="1"/>
  <c r="B39" i="14" a="1"/>
  <c r="B37" i="14" a="1"/>
  <c r="E28" i="14" a="1"/>
  <c r="R1" i="6" a="1"/>
  <c r="S67" i="4"/>
  <c r="U67" i="4" s="1"/>
  <c r="S107" i="4"/>
  <c r="U107" i="4" s="1"/>
  <c r="S27" i="4"/>
  <c r="U27" i="4" s="1"/>
  <c r="C124" i="3"/>
  <c r="B32" i="6" l="1"/>
  <c r="AD32" i="5"/>
  <c r="H32" i="5"/>
  <c r="AE32" i="5" a="1"/>
  <c r="K32" i="5"/>
  <c r="N32" i="5"/>
  <c r="D32" i="6" s="1"/>
  <c r="E32" i="5"/>
  <c r="J32" i="5"/>
  <c r="D32" i="5"/>
  <c r="B32" i="12" s="1"/>
  <c r="F32" i="5"/>
  <c r="C33" i="5"/>
  <c r="A32" i="12"/>
  <c r="B32" i="5"/>
  <c r="G32" i="5"/>
  <c r="G28" i="6"/>
  <c r="F28" i="12" a="1"/>
  <c r="E28" i="12"/>
  <c r="F28" i="6"/>
  <c r="AG25" i="5" a="1"/>
  <c r="S25" i="5" a="1"/>
  <c r="R25" i="5" a="1"/>
  <c r="AG26" i="5" a="1"/>
  <c r="S26" i="5" a="1"/>
  <c r="R26" i="5" a="1"/>
  <c r="N25" i="6"/>
  <c r="A26" i="6"/>
  <c r="B68" i="8"/>
  <c r="A27" i="6"/>
  <c r="A28" i="6" s="1"/>
  <c r="N24" i="6"/>
  <c r="L38" i="6"/>
  <c r="S1" i="6" a="1"/>
  <c r="H67" i="9"/>
  <c r="C34" i="5" l="1"/>
  <c r="D33" i="5"/>
  <c r="B33" i="12" s="1"/>
  <c r="E33" i="5"/>
  <c r="F33" i="5"/>
  <c r="AE33" i="5" a="1"/>
  <c r="G33" i="5"/>
  <c r="AD33" i="5"/>
  <c r="J33" i="5"/>
  <c r="K33" i="5"/>
  <c r="N33" i="5"/>
  <c r="D33" i="6" s="1"/>
  <c r="B33" i="5"/>
  <c r="H33" i="5"/>
  <c r="A33" i="12"/>
  <c r="B33" i="6"/>
  <c r="N28" i="6"/>
  <c r="G25" i="6"/>
  <c r="F25" i="12" a="1"/>
  <c r="E25" i="12"/>
  <c r="F25" i="6"/>
  <c r="G26" i="6"/>
  <c r="F26" i="12" a="1"/>
  <c r="F26" i="6"/>
  <c r="E26" i="12"/>
  <c r="N26" i="6"/>
  <c r="L39" i="6"/>
  <c r="N27" i="6"/>
  <c r="A29" i="6"/>
  <c r="B71" i="8"/>
  <c r="T1" i="6" a="1"/>
  <c r="C94" i="3"/>
  <c r="C92" i="3"/>
  <c r="B34" i="6" l="1"/>
  <c r="B34" i="5"/>
  <c r="N34" i="5"/>
  <c r="D34" i="6" s="1"/>
  <c r="K34" i="5"/>
  <c r="D34" i="5"/>
  <c r="B34" i="12" s="1"/>
  <c r="E34" i="5"/>
  <c r="F34" i="5"/>
  <c r="G34" i="5"/>
  <c r="AD34" i="5"/>
  <c r="H34" i="5"/>
  <c r="AE34" i="5" a="1"/>
  <c r="C35" i="5"/>
  <c r="C36" i="5" s="1"/>
  <c r="J34" i="5"/>
  <c r="A34" i="12"/>
  <c r="L40" i="6"/>
  <c r="L41" i="6" s="1"/>
  <c r="B74" i="8"/>
  <c r="N29" i="6"/>
  <c r="A30" i="6"/>
  <c r="E37" i="12"/>
  <c r="F37" i="6"/>
  <c r="U1" i="6" a="1"/>
  <c r="C98" i="3"/>
  <c r="B36" i="6" l="1"/>
  <c r="D36" i="5"/>
  <c r="B36" i="12" s="1"/>
  <c r="J36" i="5"/>
  <c r="K36" i="5"/>
  <c r="N36" i="5"/>
  <c r="AD36" i="5"/>
  <c r="AE36" i="5" a="1"/>
  <c r="AF36" i="5" s="1" a="1"/>
  <c r="R36" i="5" s="1" a="1"/>
  <c r="A36" i="12"/>
  <c r="G35" i="5"/>
  <c r="G36" i="5" s="1"/>
  <c r="H35" i="5"/>
  <c r="H36" i="5" s="1"/>
  <c r="J35" i="5"/>
  <c r="F35" i="5"/>
  <c r="F36" i="5" s="1"/>
  <c r="AD35" i="5"/>
  <c r="AE35" i="5" a="1"/>
  <c r="K35" i="5"/>
  <c r="N35" i="5"/>
  <c r="D35" i="6" s="1"/>
  <c r="B35" i="5"/>
  <c r="B36" i="5" s="1"/>
  <c r="D35" i="5"/>
  <c r="B35" i="12" s="1"/>
  <c r="E35" i="5"/>
  <c r="E36" i="5" s="1"/>
  <c r="A35" i="12"/>
  <c r="B35" i="6"/>
  <c r="B77" i="8"/>
  <c r="N30" i="6"/>
  <c r="A31" i="6"/>
  <c r="V1" i="6" a="1"/>
  <c r="C5" i="14"/>
  <c r="F36" i="12" l="1" a="1"/>
  <c r="AG36" i="5" a="1"/>
  <c r="D36" i="6"/>
  <c r="F36" i="6"/>
  <c r="E36" i="12"/>
  <c r="C37" i="5"/>
  <c r="A37" i="12" s="1"/>
  <c r="N31" i="6"/>
  <c r="A32" i="6"/>
  <c r="B80" i="8"/>
  <c r="W1" i="6" a="1"/>
  <c r="S12" i="11"/>
  <c r="F37" i="5" l="1"/>
  <c r="B37" i="6"/>
  <c r="G36" i="6"/>
  <c r="AE37" i="5" a="1"/>
  <c r="N37" i="5"/>
  <c r="D37" i="6" s="1"/>
  <c r="G37" i="6" s="1"/>
  <c r="AF37" i="5" a="1"/>
  <c r="E37" i="5"/>
  <c r="B37" i="5"/>
  <c r="G37" i="5"/>
  <c r="AD37" i="5"/>
  <c r="C38" i="5"/>
  <c r="H37" i="5"/>
  <c r="B83" i="8"/>
  <c r="N32" i="6"/>
  <c r="A33" i="6"/>
  <c r="X1" i="6" a="1"/>
  <c r="C1" i="7" a="1"/>
  <c r="AG37" i="5" l="1" a="1"/>
  <c r="S37" i="5" a="1"/>
  <c r="F37" i="12" s="1" a="1"/>
  <c r="C39" i="5"/>
  <c r="J38" i="5"/>
  <c r="N38" i="5"/>
  <c r="D38" i="6" s="1"/>
  <c r="B38" i="5"/>
  <c r="D38" i="5"/>
  <c r="B38" i="12" s="1"/>
  <c r="E38" i="5"/>
  <c r="F38" i="5"/>
  <c r="H38" i="5"/>
  <c r="AE38" i="5" a="1"/>
  <c r="K38" i="5"/>
  <c r="G38" i="5"/>
  <c r="AD38" i="5"/>
  <c r="A38" i="12"/>
  <c r="B38" i="6"/>
  <c r="B86" i="8"/>
  <c r="N33" i="6"/>
  <c r="A34" i="6"/>
  <c r="B1" i="7"/>
  <c r="Y1" i="6" a="1"/>
  <c r="D31" i="2"/>
  <c r="D29" i="2"/>
  <c r="D28" i="2"/>
  <c r="D24" i="2"/>
  <c r="D23" i="2"/>
  <c r="D22" i="2"/>
  <c r="D19" i="2"/>
  <c r="D18" i="2"/>
  <c r="D17" i="2"/>
  <c r="D16" i="2"/>
  <c r="D11" i="2"/>
  <c r="D10" i="2"/>
  <c r="D9" i="2"/>
  <c r="D8" i="2"/>
  <c r="D7" i="2"/>
  <c r="D6" i="2"/>
  <c r="D5" i="2"/>
  <c r="D4" i="2"/>
  <c r="C116" i="3"/>
  <c r="C114" i="3"/>
  <c r="C110" i="3"/>
  <c r="C109" i="3"/>
  <c r="C106" i="3"/>
  <c r="C105" i="3"/>
  <c r="C101" i="3"/>
  <c r="C90" i="3"/>
  <c r="F39" i="5" l="1"/>
  <c r="G39" i="5"/>
  <c r="AD39" i="5"/>
  <c r="D39" i="5"/>
  <c r="B39" i="12" s="1"/>
  <c r="B39" i="6"/>
  <c r="E39" i="5"/>
  <c r="H39" i="5"/>
  <c r="AE39" i="5" a="1"/>
  <c r="C40" i="5"/>
  <c r="J39" i="5"/>
  <c r="K39" i="5"/>
  <c r="N39" i="5"/>
  <c r="D39" i="6" s="1"/>
  <c r="B39" i="5"/>
  <c r="A39" i="12"/>
  <c r="N34" i="6"/>
  <c r="A35" i="6"/>
  <c r="A36" i="6" s="1"/>
  <c r="B89" i="8"/>
  <c r="Z1" i="6" a="1"/>
  <c r="D27" i="2"/>
  <c r="D15" i="2"/>
  <c r="D35" i="2"/>
  <c r="D3" i="2"/>
  <c r="B40" i="6" l="1"/>
  <c r="C41" i="5"/>
  <c r="B40" i="5"/>
  <c r="N40" i="5"/>
  <c r="D40" i="6" s="1"/>
  <c r="E40" i="5"/>
  <c r="F40" i="5"/>
  <c r="G40" i="5"/>
  <c r="AD40" i="5"/>
  <c r="AE40" i="5" a="1"/>
  <c r="H40" i="5"/>
  <c r="A40" i="12"/>
  <c r="N36" i="6"/>
  <c r="B92" i="8"/>
  <c r="N35" i="6"/>
  <c r="A37" i="6"/>
  <c r="H10" i="7"/>
  <c r="B41" i="6" l="1"/>
  <c r="D41" i="5"/>
  <c r="B41" i="12" s="1"/>
  <c r="E41" i="5"/>
  <c r="F41" i="5"/>
  <c r="G41" i="5"/>
  <c r="H41" i="5"/>
  <c r="J41" i="5"/>
  <c r="K41" i="5"/>
  <c r="N41" i="5"/>
  <c r="AE41" i="5" a="1"/>
  <c r="AF41" i="5" s="1" a="1"/>
  <c r="R41" i="5" s="1" a="1"/>
  <c r="AD41" i="5"/>
  <c r="A41" i="12"/>
  <c r="B41" i="5"/>
  <c r="B95" i="8"/>
  <c r="N37" i="6"/>
  <c r="A38" i="6"/>
  <c r="AG176" i="8"/>
  <c r="F41" i="12" l="1" a="1"/>
  <c r="AG41" i="5" a="1"/>
  <c r="D41" i="6"/>
  <c r="F41" i="6"/>
  <c r="E41" i="12"/>
  <c r="B98" i="8"/>
  <c r="N38" i="6"/>
  <c r="A39" i="6"/>
  <c r="L42" i="6"/>
  <c r="C103" i="3"/>
  <c r="C100" i="3"/>
  <c r="C96" i="3"/>
  <c r="G41" i="6" l="1"/>
  <c r="L43" i="6"/>
  <c r="N39" i="6"/>
  <c r="A40" i="6"/>
  <c r="A41" i="6" s="1"/>
  <c r="B101" i="8"/>
  <c r="C93" i="3"/>
  <c r="N41" i="6" l="1"/>
  <c r="N40" i="6"/>
  <c r="B104" i="8"/>
  <c r="C112" i="3"/>
  <c r="C108" i="3"/>
  <c r="C70" i="3"/>
  <c r="L35" i="13"/>
  <c r="L34" i="13" s="1"/>
  <c r="C84" i="3"/>
  <c r="E42" i="12" l="1"/>
  <c r="F42" i="6"/>
  <c r="B107" i="8"/>
  <c r="C56" i="3"/>
  <c r="B110" i="8" l="1"/>
  <c r="Q13" i="6"/>
  <c r="A1" i="7"/>
  <c r="V70" i="7" a="1"/>
  <c r="V70" i="7" s="1"/>
  <c r="Y5" i="7"/>
  <c r="X5" i="7"/>
  <c r="P5" i="7"/>
  <c r="C60" i="3"/>
  <c r="F5" i="7"/>
  <c r="B113" i="8" l="1"/>
  <c r="R13" i="6"/>
  <c r="S13" i="6" s="1"/>
  <c r="V71" i="7"/>
  <c r="V72" i="7"/>
  <c r="N5" i="7"/>
  <c r="O5" i="7"/>
  <c r="C42" i="5" l="1"/>
  <c r="B116" i="8"/>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F42" i="5" l="1"/>
  <c r="G42" i="5"/>
  <c r="AF42" i="5" a="1"/>
  <c r="C43" i="5"/>
  <c r="AD42" i="5"/>
  <c r="AE42" i="5" a="1"/>
  <c r="N42" i="5"/>
  <c r="D42" i="6" s="1"/>
  <c r="G42" i="6" s="1"/>
  <c r="B42" i="5"/>
  <c r="A42" i="12"/>
  <c r="E42" i="5"/>
  <c r="H42" i="5"/>
  <c r="B42" i="6"/>
  <c r="B119" i="8"/>
  <c r="U13" i="6"/>
  <c r="V77" i="9"/>
  <c r="V78" i="9"/>
  <c r="L70" i="7" a="1"/>
  <c r="L72" i="7" s="1"/>
  <c r="D68" i="7"/>
  <c r="C5" i="7"/>
  <c r="AG42" i="5" l="1" a="1"/>
  <c r="S42" i="5" a="1"/>
  <c r="F42" i="12" s="1" a="1"/>
  <c r="D43" i="5"/>
  <c r="B43" i="12" s="1"/>
  <c r="B43" i="6"/>
  <c r="E43" i="5"/>
  <c r="N43" i="5"/>
  <c r="D43" i="6" s="1"/>
  <c r="B43" i="5"/>
  <c r="F43" i="5"/>
  <c r="A43" i="12"/>
  <c r="G43" i="5"/>
  <c r="AD43" i="5"/>
  <c r="H43" i="5"/>
  <c r="AE43" i="5" a="1"/>
  <c r="J43" i="5"/>
  <c r="K43" i="5"/>
  <c r="B122" i="8"/>
  <c r="V13" i="6"/>
  <c r="L70" i="7"/>
  <c r="L71" i="7"/>
  <c r="C69" i="3"/>
  <c r="C86" i="3"/>
  <c r="C81" i="3"/>
  <c r="C80" i="3"/>
  <c r="C79" i="3"/>
  <c r="C76" i="3"/>
  <c r="C75" i="3"/>
  <c r="C74" i="3"/>
  <c r="C67" i="3"/>
  <c r="C65" i="3"/>
  <c r="C64" i="3"/>
  <c r="C61" i="3"/>
  <c r="C62" i="3"/>
  <c r="C59" i="3"/>
  <c r="C58" i="3"/>
  <c r="C72" i="3"/>
  <c r="S108" i="4" a="1"/>
  <c r="S68" i="4" a="1"/>
  <c r="S28" i="4" a="1"/>
  <c r="B125" i="8" l="1"/>
  <c r="A42" i="6"/>
  <c r="X108" i="4"/>
  <c r="Y28" i="4"/>
  <c r="X68" i="4"/>
  <c r="W13" i="6"/>
  <c r="X28" i="4"/>
  <c r="Z108" i="4"/>
  <c r="Y108" i="4"/>
  <c r="Z68" i="4"/>
  <c r="Y68" i="4"/>
  <c r="Z28" i="4"/>
  <c r="C15" i="14"/>
  <c r="L4" i="13"/>
  <c r="I5" i="12"/>
  <c r="F4" i="11"/>
  <c r="D7" i="10"/>
  <c r="K8" i="8"/>
  <c r="L5" i="4"/>
  <c r="C52" i="3"/>
  <c r="G10" i="6" a="1"/>
  <c r="Q5" i="5" a="1"/>
  <c r="P85" i="4"/>
  <c r="C51" i="3"/>
  <c r="C47" i="3"/>
  <c r="C43" i="3"/>
  <c r="C41" i="3"/>
  <c r="C39" i="3"/>
  <c r="E2" i="15"/>
  <c r="C34" i="3"/>
  <c r="C32" i="3"/>
  <c r="AX13" i="6"/>
  <c r="AB13" i="6"/>
  <c r="AB12" i="6" s="1"/>
  <c r="AM13" i="6"/>
  <c r="H12" i="10"/>
  <c r="H11" i="10" s="1" a="1"/>
  <c r="BG15" i="6"/>
  <c r="BF15" i="6"/>
  <c r="BE15" i="6"/>
  <c r="BD15" i="6"/>
  <c r="BC15" i="6"/>
  <c r="BB15" i="6"/>
  <c r="BA15" i="6"/>
  <c r="AZ15" i="6"/>
  <c r="AY15" i="6"/>
  <c r="AX15" i="6"/>
  <c r="G12" i="9"/>
  <c r="C20" i="3"/>
  <c r="C22" i="3"/>
  <c r="C24" i="3"/>
  <c r="C26" i="3"/>
  <c r="C28" i="3"/>
  <c r="C19" i="3"/>
  <c r="C15" i="3"/>
  <c r="C14" i="3"/>
  <c r="C12" i="3"/>
  <c r="I36" i="11"/>
  <c r="I35" i="11"/>
  <c r="AA179" i="8" a="1"/>
  <c r="T50" i="6" a="1"/>
  <c r="T52" i="6" s="1"/>
  <c r="I50" i="6" a="1"/>
  <c r="I51" i="6" s="1"/>
  <c r="C2" i="4"/>
  <c r="Z7" i="11"/>
  <c r="V12" i="8"/>
  <c r="E12" i="8"/>
  <c r="C14" i="5"/>
  <c r="AF14" i="5" s="1" a="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53" i="12"/>
  <c r="E54" i="12"/>
  <c r="K56" i="12" a="1"/>
  <c r="K58" i="12" s="1"/>
  <c r="E10" i="6"/>
  <c r="I10" i="6"/>
  <c r="K10" i="6"/>
  <c r="S10" i="6"/>
  <c r="U10" i="6"/>
  <c r="O13" i="6"/>
  <c r="O15" i="6" s="1"/>
  <c r="O11" i="6" s="1"/>
  <c r="B15" i="6"/>
  <c r="C15" i="6"/>
  <c r="E15" i="6"/>
  <c r="B44" i="6"/>
  <c r="C44" i="6"/>
  <c r="F48" i="6"/>
  <c r="S5" i="8"/>
  <c r="I8" i="8"/>
  <c r="L8" i="8"/>
  <c r="U8" i="8"/>
  <c r="E13" i="8"/>
  <c r="V13" i="8"/>
  <c r="W13" i="8" s="1"/>
  <c r="X13" i="8" s="1"/>
  <c r="Y13" i="8" s="1"/>
  <c r="Z13" i="8" s="1"/>
  <c r="AA13" i="8" s="1"/>
  <c r="AB13" i="8" s="1"/>
  <c r="AC13" i="8" s="1"/>
  <c r="AD13" i="8" s="1"/>
  <c r="AE13" i="8" s="1"/>
  <c r="AF13" i="8" s="1"/>
  <c r="T166" i="8"/>
  <c r="T171" i="8"/>
  <c r="I17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54" i="5"/>
  <c r="O15" i="5"/>
  <c r="O57" i="5"/>
  <c r="T59" i="5" a="1"/>
  <c r="T59" i="5" s="1"/>
  <c r="B1" i="10"/>
  <c r="H4" i="10"/>
  <c r="B7" i="10"/>
  <c r="H7" i="10"/>
  <c r="O7" i="10"/>
  <c r="F12" i="10"/>
  <c r="F11" i="10" s="1" a="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N42" i="6" l="1"/>
  <c r="A43" i="6"/>
  <c r="B128" i="8"/>
  <c r="R14" i="5" a="1"/>
  <c r="AE14" i="5" a="1"/>
  <c r="AM12" i="6"/>
  <c r="AX12" i="6"/>
  <c r="K130" i="4"/>
  <c r="U108" i="4"/>
  <c r="U68" i="4"/>
  <c r="U28" i="4"/>
  <c r="A15" i="6" a="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59" i="12"/>
  <c r="C21" i="4"/>
  <c r="C22" i="4"/>
  <c r="K132" i="4"/>
  <c r="W81" i="10"/>
  <c r="K56" i="12"/>
  <c r="T61" i="5"/>
  <c r="O7" i="13"/>
  <c r="T51" i="6"/>
  <c r="P125" i="4"/>
  <c r="I180" i="8"/>
  <c r="I52" i="6"/>
  <c r="I50" i="6"/>
  <c r="AC13" i="6"/>
  <c r="AC12" i="6" s="1"/>
  <c r="AN13" i="6"/>
  <c r="B14" i="5"/>
  <c r="F14" i="5"/>
  <c r="G15" i="9"/>
  <c r="H15" i="10"/>
  <c r="S110" i="4"/>
  <c r="I12" i="10"/>
  <c r="I11" i="10" s="1" a="1"/>
  <c r="H12" i="9"/>
  <c r="S30" i="4"/>
  <c r="A36" i="4"/>
  <c r="C35" i="4"/>
  <c r="C24" i="4"/>
  <c r="AA180" i="8"/>
  <c r="AA181" i="8"/>
  <c r="AA179" i="8"/>
  <c r="P45" i="4"/>
  <c r="K14" i="5"/>
  <c r="J14" i="5"/>
  <c r="H14" i="5"/>
  <c r="A14" i="12"/>
  <c r="D14" i="5"/>
  <c r="B14" i="12" s="1"/>
  <c r="AD14" i="5"/>
  <c r="E14" i="5"/>
  <c r="G14" i="5"/>
  <c r="N14" i="5"/>
  <c r="E57" i="12"/>
  <c r="B80" i="10"/>
  <c r="F51" i="6"/>
  <c r="O60" i="5"/>
  <c r="D36" i="11"/>
  <c r="W79" i="10"/>
  <c r="A4" i="4"/>
  <c r="K51" i="4"/>
  <c r="K57" i="12"/>
  <c r="S70" i="4"/>
  <c r="K91" i="4"/>
  <c r="T50" i="6"/>
  <c r="K90" i="4"/>
  <c r="T60" i="5"/>
  <c r="AB16" i="6" l="1"/>
  <c r="AB17" i="6"/>
  <c r="B131" i="8"/>
  <c r="AM16" i="6"/>
  <c r="AN16" i="6"/>
  <c r="AN17" i="6"/>
  <c r="AU16" i="6"/>
  <c r="AX16" i="6" a="1"/>
  <c r="BA17" i="6" a="1"/>
  <c r="AR17" i="6"/>
  <c r="AR16" i="6"/>
  <c r="BD17" i="6" a="1"/>
  <c r="AZ17" i="6" a="1"/>
  <c r="AS16" i="6"/>
  <c r="BG16" i="6" a="1"/>
  <c r="AS17" i="6"/>
  <c r="AX17" i="6" a="1"/>
  <c r="AT17" i="6"/>
  <c r="AQ16" i="6"/>
  <c r="AY17" i="6" a="1"/>
  <c r="AV16" i="6"/>
  <c r="AM17" i="6"/>
  <c r="BE17" i="6" a="1"/>
  <c r="BC17" i="6" a="1"/>
  <c r="BF16" i="6" a="1"/>
  <c r="BC16" i="6" a="1"/>
  <c r="BG17" i="6" a="1"/>
  <c r="AP17" i="6"/>
  <c r="AZ16" i="6" a="1"/>
  <c r="AQ17" i="6"/>
  <c r="AY16" i="6" a="1"/>
  <c r="AT16" i="6"/>
  <c r="BE16" i="6" a="1"/>
  <c r="BA16" i="6" a="1"/>
  <c r="AO17" i="6"/>
  <c r="BD16" i="6" a="1"/>
  <c r="AP16" i="6"/>
  <c r="BB17" i="6" a="1"/>
  <c r="AV17" i="6"/>
  <c r="AU17" i="6"/>
  <c r="BB16" i="6" a="1"/>
  <c r="AO16" i="6"/>
  <c r="BF17" i="6" a="1"/>
  <c r="M18" i="6"/>
  <c r="N43" i="6"/>
  <c r="AC16" i="6"/>
  <c r="AC17" i="6"/>
  <c r="AN12" i="6"/>
  <c r="AY12" i="6"/>
  <c r="U97" i="4"/>
  <c r="U57" i="4"/>
  <c r="C15" i="7" a="1"/>
  <c r="B10" i="9"/>
  <c r="M69" i="10"/>
  <c r="M74" i="10" s="1"/>
  <c r="I12" i="9"/>
  <c r="U17" i="4"/>
  <c r="U14" i="4" s="1"/>
  <c r="T21" i="4" s="1"/>
  <c r="H5" i="5"/>
  <c r="X8" i="5" s="1" a="1"/>
  <c r="F5" i="5"/>
  <c r="G5" i="5"/>
  <c r="W8" i="5" s="1" a="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C4" i="4"/>
  <c r="A5" i="4"/>
  <c r="C36" i="4"/>
  <c r="A37" i="4"/>
  <c r="C37" i="4" s="1"/>
  <c r="AH36" i="5" l="1"/>
  <c r="AH41" i="5"/>
  <c r="AH28" i="5"/>
  <c r="AH20" i="5"/>
  <c r="AH26" i="5"/>
  <c r="AH25" i="5"/>
  <c r="AN18" i="6"/>
  <c r="AZ18" i="6" a="1"/>
  <c r="AX18" i="6" a="1"/>
  <c r="AY18" i="6" a="1"/>
  <c r="AO18" i="6"/>
  <c r="AM18" i="6"/>
  <c r="AD16" i="6"/>
  <c r="AD17" i="6"/>
  <c r="B134" i="8"/>
  <c r="AH39" i="5"/>
  <c r="AH23" i="5"/>
  <c r="AH33" i="5"/>
  <c r="AH17" i="5"/>
  <c r="AN17" i="5" s="1" a="1"/>
  <c r="AH27" i="5"/>
  <c r="AH42" i="5"/>
  <c r="AH35" i="5"/>
  <c r="AH30" i="5"/>
  <c r="AH38" i="5"/>
  <c r="AH22" i="5"/>
  <c r="AH32" i="5"/>
  <c r="AH16" i="5"/>
  <c r="AN16" i="5" s="1" a="1"/>
  <c r="AH43" i="5"/>
  <c r="AH37" i="5"/>
  <c r="AH29" i="5"/>
  <c r="AH40" i="5"/>
  <c r="AH21" i="5"/>
  <c r="AH19" i="5"/>
  <c r="AH18" i="5"/>
  <c r="AH24" i="5"/>
  <c r="AH31" i="5"/>
  <c r="AH34" i="5"/>
  <c r="M21" i="6"/>
  <c r="M19" i="6"/>
  <c r="M20" i="6" s="1"/>
  <c r="AZ12" i="6"/>
  <c r="AO12" i="6"/>
  <c r="U94" i="4"/>
  <c r="T101" i="4" s="1"/>
  <c r="U54" i="4"/>
  <c r="T61" i="4" s="1"/>
  <c r="B15" i="9"/>
  <c r="B16" i="9" s="1"/>
  <c r="T57" i="4"/>
  <c r="T97" i="4"/>
  <c r="T22" i="4"/>
  <c r="T23" i="4"/>
  <c r="T24" i="4"/>
  <c r="T25" i="4"/>
  <c r="T26" i="4"/>
  <c r="U26" i="4" s="1"/>
  <c r="T17" i="4"/>
  <c r="V8" i="5" a="1"/>
  <c r="O69" i="10"/>
  <c r="O74" i="10" s="1"/>
  <c r="J12" i="9"/>
  <c r="AH14" i="5"/>
  <c r="W14" i="5" s="1" a="1"/>
  <c r="BA13" i="6"/>
  <c r="A18" i="4"/>
  <c r="C17" i="4"/>
  <c r="Y12" i="8"/>
  <c r="AE13" i="12"/>
  <c r="Z13" i="6"/>
  <c r="AE13" i="6"/>
  <c r="AP13" i="6"/>
  <c r="K12" i="10"/>
  <c r="K11" i="10" s="1" a="1"/>
  <c r="C5" i="4"/>
  <c r="A6" i="4"/>
  <c r="W36" i="5" l="1" a="1"/>
  <c r="H36" i="12" s="1" a="1"/>
  <c r="AN36" i="5" a="1"/>
  <c r="W41" i="5" a="1"/>
  <c r="H41" i="12" s="1" a="1"/>
  <c r="AN41" i="5" a="1"/>
  <c r="AN28" i="5" a="1"/>
  <c r="W28" i="5" a="1"/>
  <c r="H28" i="12" s="1" a="1"/>
  <c r="W20" i="5" a="1"/>
  <c r="H20" i="12" s="1" a="1"/>
  <c r="AN20" i="5" a="1"/>
  <c r="AP20" i="6"/>
  <c r="AO20" i="6"/>
  <c r="AN20" i="6"/>
  <c r="AM20" i="6"/>
  <c r="AZ20" i="6" a="1"/>
  <c r="BA20" i="6" a="1"/>
  <c r="AY20" i="6" a="1"/>
  <c r="AX20" i="6" a="1"/>
  <c r="W26" i="5" a="1"/>
  <c r="H26" i="12" s="1" a="1"/>
  <c r="AN26" i="5" a="1"/>
  <c r="W25" i="5" a="1"/>
  <c r="H25" i="12" s="1" a="1"/>
  <c r="AN25" i="5" a="1"/>
  <c r="M22" i="6"/>
  <c r="AP22" i="6" s="1"/>
  <c r="AN40" i="5" a="1"/>
  <c r="W40" i="5" a="1"/>
  <c r="H40" i="12" s="1" a="1"/>
  <c r="AN22" i="5" a="1"/>
  <c r="W22" i="5" a="1"/>
  <c r="H22" i="12" s="1" a="1"/>
  <c r="AN30" i="5" a="1"/>
  <c r="W30" i="5" a="1"/>
  <c r="H30" i="12" s="1" a="1"/>
  <c r="AN34" i="5" a="1"/>
  <c r="W34" i="5" a="1"/>
  <c r="H34" i="12" s="1" a="1"/>
  <c r="AN38" i="5" a="1"/>
  <c r="W38" i="5" a="1"/>
  <c r="H38" i="12" s="1" a="1"/>
  <c r="AN27" i="5" a="1"/>
  <c r="W27" i="5" a="1"/>
  <c r="H27" i="12" s="1" a="1"/>
  <c r="B17" i="9"/>
  <c r="AN19" i="6"/>
  <c r="AP19" i="6"/>
  <c r="AX19" i="6" a="1"/>
  <c r="AM19" i="6"/>
  <c r="BA19" i="6" a="1"/>
  <c r="AO19" i="6"/>
  <c r="AY19" i="6" a="1"/>
  <c r="AZ19" i="6" a="1"/>
  <c r="AP18" i="6"/>
  <c r="BA18" i="6" a="1"/>
  <c r="AN39" i="5" a="1"/>
  <c r="W39" i="5" a="1"/>
  <c r="H39" i="12" s="1" a="1"/>
  <c r="B137" i="8"/>
  <c r="AN31" i="5" a="1"/>
  <c r="W31" i="5" a="1"/>
  <c r="H31" i="12" s="1" a="1"/>
  <c r="AN33" i="5" a="1"/>
  <c r="W33" i="5" a="1"/>
  <c r="H33" i="12" s="1" a="1"/>
  <c r="AN29" i="5" a="1"/>
  <c r="W29" i="5" a="1"/>
  <c r="H29" i="12" s="1" a="1"/>
  <c r="AN24" i="5" a="1"/>
  <c r="W24" i="5" a="1"/>
  <c r="H24" i="12" s="1" a="1"/>
  <c r="AN37" i="5" a="1"/>
  <c r="W37" i="5" a="1"/>
  <c r="H37" i="12" s="1" a="1"/>
  <c r="AN35" i="5" a="1"/>
  <c r="W35" i="5" a="1"/>
  <c r="H35" i="12" s="1" a="1"/>
  <c r="AN42" i="5" a="1"/>
  <c r="W42" i="5" a="1"/>
  <c r="H42" i="12" s="1" a="1"/>
  <c r="AN23" i="5" a="1"/>
  <c r="W23" i="5" a="1"/>
  <c r="H23" i="12" s="1" a="1"/>
  <c r="AN18" i="5" a="1"/>
  <c r="W18" i="5" a="1"/>
  <c r="H18" i="12" s="1" a="1"/>
  <c r="AN43" i="5" a="1"/>
  <c r="W43" i="5" a="1"/>
  <c r="H43" i="12" s="1" a="1"/>
  <c r="AN32" i="5" a="1"/>
  <c r="W32" i="5" a="1"/>
  <c r="H32" i="12" s="1" a="1"/>
  <c r="AN19" i="5" a="1"/>
  <c r="W19" i="5" a="1"/>
  <c r="H19" i="12" s="1" a="1"/>
  <c r="AZ21" i="6" a="1"/>
  <c r="AP21" i="6"/>
  <c r="BA21" i="6" a="1"/>
  <c r="AX21" i="6" a="1"/>
  <c r="AY21" i="6" a="1"/>
  <c r="AN21" i="6"/>
  <c r="AM21" i="6"/>
  <c r="AO21" i="6"/>
  <c r="AN21" i="5" a="1"/>
  <c r="W21" i="5" a="1"/>
  <c r="H21" i="12" s="1" a="1"/>
  <c r="BA12" i="6"/>
  <c r="AP12" i="6"/>
  <c r="H14" i="12" a="1"/>
  <c r="AN14" i="5" a="1"/>
  <c r="T62" i="4"/>
  <c r="T63" i="4"/>
  <c r="T64" i="4"/>
  <c r="T66" i="4"/>
  <c r="U66" i="4" s="1"/>
  <c r="T65" i="4"/>
  <c r="T102" i="4"/>
  <c r="T104" i="4"/>
  <c r="T103" i="4"/>
  <c r="T106" i="4"/>
  <c r="U106" i="4" s="1"/>
  <c r="T105" i="4"/>
  <c r="U7" i="4"/>
  <c r="H68" i="10"/>
  <c r="Q69" i="10"/>
  <c r="Q74" i="10" s="1"/>
  <c r="K12" i="9"/>
  <c r="BB13" i="6"/>
  <c r="BB20" i="6" s="1" a="1"/>
  <c r="AF13" i="6"/>
  <c r="AF12" i="6" s="1"/>
  <c r="AE12" i="6"/>
  <c r="A19" i="4"/>
  <c r="C19" i="4" s="1"/>
  <c r="C18" i="4"/>
  <c r="Z12" i="8"/>
  <c r="AF13" i="12"/>
  <c r="AQ13" i="6"/>
  <c r="AQ20" i="6" s="1"/>
  <c r="L12" i="10"/>
  <c r="L11" i="10" s="1" a="1"/>
  <c r="A7" i="4"/>
  <c r="C7" i="4" s="1"/>
  <c r="C6" i="4"/>
  <c r="AY22" i="6" l="1" a="1"/>
  <c r="BA22" i="6" a="1"/>
  <c r="AX22" i="6" a="1"/>
  <c r="AO22" i="6"/>
  <c r="AN22" i="6"/>
  <c r="AZ22" i="6" a="1"/>
  <c r="AM22" i="6"/>
  <c r="M23" i="6"/>
  <c r="AZ23" i="6" s="1" a="1"/>
  <c r="M27" i="6"/>
  <c r="M24" i="6"/>
  <c r="AQ21" i="6"/>
  <c r="B18" i="9"/>
  <c r="BB22" i="6" a="1"/>
  <c r="AQ22" i="6"/>
  <c r="BB21" i="6" a="1"/>
  <c r="B140" i="8"/>
  <c r="BB19" i="6" a="1"/>
  <c r="AQ19" i="6"/>
  <c r="BB18" i="6" a="1"/>
  <c r="AQ18" i="6"/>
  <c r="AF16" i="6"/>
  <c r="AF17" i="6"/>
  <c r="AE16" i="6"/>
  <c r="AE17" i="6"/>
  <c r="X29" i="4"/>
  <c r="S69" i="10"/>
  <c r="S74" i="10" s="1"/>
  <c r="L12" i="9"/>
  <c r="BB12" i="6"/>
  <c r="AQ12" i="6"/>
  <c r="AG13" i="6"/>
  <c r="AG12" i="6" s="1"/>
  <c r="BC13" i="6"/>
  <c r="BC20" i="6" s="1" a="1"/>
  <c r="AA12" i="8"/>
  <c r="AG13" i="12"/>
  <c r="AR13" i="6"/>
  <c r="AR20" i="6" s="1"/>
  <c r="M12" i="10"/>
  <c r="M11" i="10" s="1" a="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Q27" i="6" l="1"/>
  <c r="BB24" i="6" a="1"/>
  <c r="M25" i="6"/>
  <c r="BB23" i="6" a="1"/>
  <c r="AO23" i="6"/>
  <c r="AQ23" i="6"/>
  <c r="AM23" i="6"/>
  <c r="AN23" i="6"/>
  <c r="AP23" i="6"/>
  <c r="M30" i="6"/>
  <c r="AZ30" i="6" s="1" a="1"/>
  <c r="AQ24" i="6"/>
  <c r="BB27" i="6" a="1"/>
  <c r="AZ24" i="6" a="1"/>
  <c r="AN24" i="6"/>
  <c r="AP24" i="6"/>
  <c r="AM24" i="6"/>
  <c r="AY24" i="6" a="1"/>
  <c r="AX24" i="6" a="1"/>
  <c r="BA24" i="6" a="1"/>
  <c r="AO24" i="6"/>
  <c r="AY27" i="6" a="1"/>
  <c r="AX27" i="6" a="1"/>
  <c r="BA27" i="6" a="1"/>
  <c r="AM27" i="6"/>
  <c r="AN27" i="6"/>
  <c r="AP27" i="6"/>
  <c r="AZ27" i="6" a="1"/>
  <c r="AO27" i="6"/>
  <c r="AY23" i="6" a="1"/>
  <c r="BA23" i="6" a="1"/>
  <c r="AX23" i="6" a="1"/>
  <c r="B143" i="8"/>
  <c r="AR18" i="6"/>
  <c r="AR19" i="6"/>
  <c r="AR22" i="6"/>
  <c r="AR21" i="6"/>
  <c r="AR27" i="6"/>
  <c r="AR23" i="6"/>
  <c r="AR24" i="6"/>
  <c r="BC18" i="6" a="1"/>
  <c r="BC21" i="6" a="1"/>
  <c r="BC23" i="6" a="1"/>
  <c r="BC19" i="6" a="1"/>
  <c r="BC27" i="6" a="1"/>
  <c r="BC24" i="6" a="1"/>
  <c r="BC22" i="6" a="1"/>
  <c r="AG16" i="6"/>
  <c r="AG17"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BD20" i="6" s="1" a="1"/>
  <c r="AB12" i="8"/>
  <c r="AH13" i="12"/>
  <c r="AS13" i="6"/>
  <c r="AS20" i="6" s="1"/>
  <c r="N12" i="10"/>
  <c r="N11" i="10" s="1" a="1"/>
  <c r="AM25" i="6" l="1"/>
  <c r="BA25" i="6" a="1"/>
  <c r="AO25" i="6"/>
  <c r="AP25" i="6"/>
  <c r="AY25" i="6" a="1"/>
  <c r="BB25" i="6" a="1"/>
  <c r="BC25" i="6" a="1"/>
  <c r="AN25" i="6"/>
  <c r="AR25" i="6"/>
  <c r="BD25" i="6" a="1"/>
  <c r="AQ25" i="6"/>
  <c r="AX25" i="6" a="1"/>
  <c r="AS25" i="6"/>
  <c r="AZ25" i="6" a="1"/>
  <c r="M26" i="6"/>
  <c r="M28" i="6" s="1"/>
  <c r="AM30" i="6"/>
  <c r="AX30" i="6" a="1"/>
  <c r="AP30" i="6"/>
  <c r="BA30" i="6" a="1"/>
  <c r="BC30" i="6" a="1"/>
  <c r="AQ30" i="6"/>
  <c r="AN30" i="6"/>
  <c r="BB30" i="6" a="1"/>
  <c r="AR30" i="6"/>
  <c r="AY30" i="6" a="1"/>
  <c r="AO30" i="6"/>
  <c r="B146" i="8"/>
  <c r="BD30" i="6" a="1"/>
  <c r="BD18" i="6" a="1"/>
  <c r="BD22" i="6" a="1"/>
  <c r="BD19" i="6" a="1"/>
  <c r="BD23" i="6" a="1"/>
  <c r="BD24" i="6" a="1"/>
  <c r="BD21" i="6" a="1"/>
  <c r="BD27" i="6" a="1"/>
  <c r="AH16" i="6"/>
  <c r="AH17" i="6"/>
  <c r="AS18" i="6"/>
  <c r="AS30" i="6"/>
  <c r="AS21" i="6"/>
  <c r="AS22" i="6"/>
  <c r="AS27" i="6"/>
  <c r="AS24" i="6"/>
  <c r="AS19" i="6"/>
  <c r="AS23" i="6"/>
  <c r="B20" i="9"/>
  <c r="AB10" i="12"/>
  <c r="W69" i="10"/>
  <c r="W74" i="10" s="1"/>
  <c r="N12" i="9"/>
  <c r="J72" i="4"/>
  <c r="U8" i="4"/>
  <c r="BD12" i="6"/>
  <c r="AS12" i="6"/>
  <c r="AI13" i="6"/>
  <c r="AI12" i="6" s="1"/>
  <c r="BE13" i="6"/>
  <c r="AC12" i="8"/>
  <c r="AI13" i="12"/>
  <c r="K72" i="4"/>
  <c r="J112" i="4"/>
  <c r="AT13" i="6"/>
  <c r="O12" i="10"/>
  <c r="O11" i="10" s="1" a="1"/>
  <c r="K32" i="4"/>
  <c r="J32" i="4"/>
  <c r="BE25" i="6" l="1" a="1"/>
  <c r="BE20" i="6" a="1"/>
  <c r="AT25" i="6"/>
  <c r="AT20" i="6"/>
  <c r="BC28" i="6" a="1"/>
  <c r="AQ28" i="6"/>
  <c r="BE28" i="6" a="1"/>
  <c r="AO28" i="6"/>
  <c r="AZ28" i="6" a="1"/>
  <c r="AM28" i="6"/>
  <c r="AY28" i="6" a="1"/>
  <c r="BD28" i="6" a="1"/>
  <c r="AN28" i="6"/>
  <c r="AR28" i="6"/>
  <c r="BB28" i="6" a="1"/>
  <c r="AT28" i="6"/>
  <c r="AX28" i="6" a="1"/>
  <c r="AS28" i="6"/>
  <c r="AP28" i="6"/>
  <c r="BA28" i="6" a="1"/>
  <c r="M29" i="6"/>
  <c r="BD26" i="6" a="1"/>
  <c r="AX26" i="6" a="1"/>
  <c r="BE26" i="6" a="1"/>
  <c r="BC26" i="6" a="1"/>
  <c r="BB26" i="6" a="1"/>
  <c r="BA26" i="6" a="1"/>
  <c r="AZ26" i="6" a="1"/>
  <c r="AY26" i="6" a="1"/>
  <c r="AT26" i="6"/>
  <c r="AS26" i="6"/>
  <c r="AR26" i="6"/>
  <c r="AP26" i="6"/>
  <c r="AQ26" i="6"/>
  <c r="AO26" i="6"/>
  <c r="AN26" i="6"/>
  <c r="AM26" i="6"/>
  <c r="M37" i="6"/>
  <c r="AQ37" i="6" s="1"/>
  <c r="B149" i="8"/>
  <c r="AT18" i="6"/>
  <c r="AT30" i="6"/>
  <c r="AT23" i="6"/>
  <c r="AT24" i="6"/>
  <c r="AT19" i="6"/>
  <c r="AT22" i="6"/>
  <c r="AT21" i="6"/>
  <c r="AT27" i="6"/>
  <c r="BE18" i="6" a="1"/>
  <c r="BE30" i="6" a="1"/>
  <c r="BE27" i="6" a="1"/>
  <c r="BE23" i="6" a="1"/>
  <c r="BE22" i="6" a="1"/>
  <c r="BE21" i="6" a="1"/>
  <c r="BE19" i="6" a="1"/>
  <c r="BE24" i="6" a="1"/>
  <c r="B21" i="9"/>
  <c r="AI16" i="6"/>
  <c r="AI17" i="6"/>
  <c r="O12" i="9"/>
  <c r="Y69" i="10"/>
  <c r="Y74" i="10" s="1"/>
  <c r="T11" i="11"/>
  <c r="BE12" i="6"/>
  <c r="AT12" i="6"/>
  <c r="AJ13" i="6"/>
  <c r="AJ12" i="6" s="1"/>
  <c r="BF13" i="6"/>
  <c r="AD12" i="8"/>
  <c r="AJ13" i="12"/>
  <c r="AU13" i="6"/>
  <c r="P12" i="10"/>
  <c r="P11" i="10" s="1" a="1"/>
  <c r="AU20" i="6" l="1"/>
  <c r="AU28" i="6"/>
  <c r="BF20" i="6" a="1"/>
  <c r="BF28" i="6" a="1"/>
  <c r="BF25" i="6" a="1"/>
  <c r="BF26" i="6" a="1"/>
  <c r="AU25" i="6"/>
  <c r="AU26" i="6"/>
  <c r="AT29" i="6"/>
  <c r="BE29" i="6" a="1"/>
  <c r="M31" i="6"/>
  <c r="M36" i="6" s="1"/>
  <c r="AS29" i="6"/>
  <c r="BD29" i="6" a="1"/>
  <c r="BA29" i="6" a="1"/>
  <c r="AY29" i="6" a="1"/>
  <c r="AN29" i="6"/>
  <c r="AP29" i="6"/>
  <c r="BC29" i="6" a="1"/>
  <c r="AO29" i="6"/>
  <c r="AM29" i="6"/>
  <c r="AZ29" i="6" a="1"/>
  <c r="BB29" i="6" a="1"/>
  <c r="AR29" i="6"/>
  <c r="AQ29" i="6"/>
  <c r="AX29" i="6" a="1"/>
  <c r="BE37" i="6" a="1"/>
  <c r="AN37" i="6"/>
  <c r="BB37" i="6" a="1"/>
  <c r="AY37" i="6" a="1"/>
  <c r="AS37" i="6"/>
  <c r="AX37" i="6" a="1"/>
  <c r="AZ37" i="6" a="1"/>
  <c r="AO37" i="6"/>
  <c r="BD37" i="6" a="1"/>
  <c r="AP37" i="6"/>
  <c r="BA37" i="6" a="1"/>
  <c r="AM37" i="6"/>
  <c r="AR37" i="6"/>
  <c r="AT37" i="6"/>
  <c r="BC37" i="6" a="1"/>
  <c r="B152" i="8"/>
  <c r="AU30" i="6"/>
  <c r="AU18" i="6"/>
  <c r="AU29" i="6"/>
  <c r="AU37" i="6"/>
  <c r="AU23" i="6"/>
  <c r="AU19" i="6"/>
  <c r="AU27" i="6"/>
  <c r="AU22" i="6"/>
  <c r="AU21" i="6"/>
  <c r="AU24" i="6"/>
  <c r="BF18" i="6" a="1"/>
  <c r="BF29" i="6" a="1"/>
  <c r="BF30" i="6" a="1"/>
  <c r="BF24" i="6" a="1"/>
  <c r="BF19" i="6" a="1"/>
  <c r="BF23" i="6" a="1"/>
  <c r="BF21" i="6" a="1"/>
  <c r="BF37" i="6" a="1"/>
  <c r="BF27" i="6" a="1"/>
  <c r="BF22" i="6" a="1"/>
  <c r="AJ16" i="6"/>
  <c r="AJ17" i="6"/>
  <c r="B22" i="9"/>
  <c r="P12" i="9"/>
  <c r="AA69" i="10"/>
  <c r="AA74" i="10" s="1"/>
  <c r="BF12" i="6"/>
  <c r="AU12" i="6"/>
  <c r="AK13" i="6"/>
  <c r="BG13" i="6"/>
  <c r="AE12" i="8"/>
  <c r="AK13" i="12"/>
  <c r="AV13" i="6"/>
  <c r="Q12" i="10"/>
  <c r="Q11" i="10" s="1" a="1"/>
  <c r="AM36" i="6" l="1"/>
  <c r="AS36" i="6"/>
  <c r="AP36" i="6"/>
  <c r="AN36" i="6"/>
  <c r="AO36" i="6"/>
  <c r="AQ36" i="6"/>
  <c r="AR36" i="6"/>
  <c r="AT36" i="6"/>
  <c r="AU36" i="6"/>
  <c r="AV36" i="6"/>
  <c r="AX36" i="6" a="1"/>
  <c r="AY36" i="6" a="1"/>
  <c r="BE36" i="6" a="1"/>
  <c r="BG36" i="6" a="1"/>
  <c r="BC36" i="6" a="1"/>
  <c r="BB36" i="6" a="1"/>
  <c r="AZ36" i="6" a="1"/>
  <c r="BF36" i="6" a="1"/>
  <c r="BA36" i="6" a="1"/>
  <c r="BD36" i="6" a="1"/>
  <c r="BG28" i="6" a="1"/>
  <c r="BG20" i="6" a="1"/>
  <c r="AV28" i="6"/>
  <c r="AV20" i="6"/>
  <c r="AU31" i="6"/>
  <c r="BF31" i="6" a="1"/>
  <c r="AN31" i="6"/>
  <c r="AO31" i="6"/>
  <c r="BE31" i="6" a="1"/>
  <c r="BD31" i="6" a="1"/>
  <c r="AT31" i="6"/>
  <c r="AR31" i="6"/>
  <c r="M35" i="6"/>
  <c r="BB31" i="6" a="1"/>
  <c r="BA31" i="6" a="1"/>
  <c r="AZ31" i="6" a="1"/>
  <c r="BC31" i="6" a="1"/>
  <c r="M32" i="6"/>
  <c r="AX31" i="6" a="1"/>
  <c r="M33" i="6"/>
  <c r="AM31" i="6"/>
  <c r="AY31" i="6" a="1"/>
  <c r="AP31" i="6"/>
  <c r="M34" i="6"/>
  <c r="AQ31" i="6"/>
  <c r="AS31" i="6"/>
  <c r="BG25" i="6" a="1"/>
  <c r="BG26" i="6" a="1"/>
  <c r="AV25" i="6"/>
  <c r="AV26" i="6"/>
  <c r="AV30" i="6"/>
  <c r="AV18" i="6"/>
  <c r="AV31" i="6"/>
  <c r="AV29" i="6"/>
  <c r="AV27" i="6"/>
  <c r="AV23" i="6"/>
  <c r="AV19" i="6"/>
  <c r="AV21" i="6"/>
  <c r="AV22" i="6"/>
  <c r="AV37" i="6"/>
  <c r="AV24" i="6"/>
  <c r="B23" i="9"/>
  <c r="BG30" i="6" a="1"/>
  <c r="BG18" i="6" a="1"/>
  <c r="BG31" i="6" a="1"/>
  <c r="BG29" i="6" a="1"/>
  <c r="BG27" i="6" a="1"/>
  <c r="BG19" i="6" a="1"/>
  <c r="BG24" i="6" a="1"/>
  <c r="BG21" i="6" a="1"/>
  <c r="BG37" i="6" a="1"/>
  <c r="BG23" i="6" a="1"/>
  <c r="BG22" i="6" a="1"/>
  <c r="B155" i="8"/>
  <c r="AK12" i="6"/>
  <c r="Q12" i="9"/>
  <c r="AC69" i="10"/>
  <c r="AC74" i="10" s="1"/>
  <c r="BG12" i="6"/>
  <c r="AV12" i="6"/>
  <c r="AF12" i="8"/>
  <c r="AL13" i="12"/>
  <c r="R12" i="10"/>
  <c r="R11" i="10" s="1" a="1"/>
  <c r="BF35" i="6" l="1" a="1"/>
  <c r="AU35" i="6"/>
  <c r="BB35" i="6" a="1"/>
  <c r="AO35" i="6"/>
  <c r="AN35" i="6"/>
  <c r="BA35" i="6" a="1"/>
  <c r="AX35" i="6" a="1"/>
  <c r="AZ35" i="6" a="1"/>
  <c r="AQ35" i="6"/>
  <c r="AR35" i="6"/>
  <c r="AM35" i="6"/>
  <c r="AY35" i="6" a="1"/>
  <c r="AS35" i="6"/>
  <c r="BD35" i="6" a="1"/>
  <c r="BE35" i="6" a="1"/>
  <c r="AP35" i="6"/>
  <c r="BC35" i="6" a="1"/>
  <c r="AT35" i="6"/>
  <c r="BE32" i="6" a="1"/>
  <c r="BF32" i="6" a="1"/>
  <c r="BD32" i="6" a="1"/>
  <c r="AU32" i="6"/>
  <c r="AS32" i="6"/>
  <c r="AQ32" i="6"/>
  <c r="AY32" i="6" a="1"/>
  <c r="BA32" i="6" a="1"/>
  <c r="BC32" i="6" a="1"/>
  <c r="AR32" i="6"/>
  <c r="AO32" i="6"/>
  <c r="AN32" i="6"/>
  <c r="AM32" i="6"/>
  <c r="AZ32" i="6" a="1"/>
  <c r="BB32" i="6" a="1"/>
  <c r="AX32" i="6" a="1"/>
  <c r="M38" i="6"/>
  <c r="M41" i="6" s="1"/>
  <c r="AT32" i="6"/>
  <c r="AP32" i="6"/>
  <c r="BF33" i="6" a="1"/>
  <c r="AU33" i="6"/>
  <c r="AZ33" i="6" a="1"/>
  <c r="AM33" i="6"/>
  <c r="AS33" i="6"/>
  <c r="AY33" i="6" a="1"/>
  <c r="BD33" i="6" a="1"/>
  <c r="BB33" i="6" a="1"/>
  <c r="AP33" i="6"/>
  <c r="AX33" i="6" a="1"/>
  <c r="BA33" i="6" a="1"/>
  <c r="AN33" i="6"/>
  <c r="AO33" i="6"/>
  <c r="AQ33" i="6"/>
  <c r="BE33" i="6" a="1"/>
  <c r="AT33" i="6"/>
  <c r="AR33" i="6"/>
  <c r="BC33" i="6" a="1"/>
  <c r="AU34" i="6"/>
  <c r="BF34" i="6" a="1"/>
  <c r="BE34" i="6" a="1"/>
  <c r="BB34" i="6" a="1"/>
  <c r="BD34" i="6" a="1"/>
  <c r="AY34" i="6" a="1"/>
  <c r="AO34" i="6"/>
  <c r="AQ34" i="6"/>
  <c r="AP34" i="6"/>
  <c r="BA34" i="6" a="1"/>
  <c r="AR34" i="6"/>
  <c r="AT34" i="6"/>
  <c r="AZ34" i="6" a="1"/>
  <c r="AM34" i="6"/>
  <c r="AX34" i="6" a="1"/>
  <c r="BC34" i="6" a="1"/>
  <c r="AN34" i="6"/>
  <c r="AS34" i="6"/>
  <c r="AV35" i="6"/>
  <c r="BG35" i="6" a="1"/>
  <c r="AV32" i="6"/>
  <c r="BG32" i="6" a="1"/>
  <c r="BG33" i="6" a="1"/>
  <c r="AV33" i="6"/>
  <c r="AV34" i="6"/>
  <c r="BG34" i="6" a="1"/>
  <c r="B24" i="9"/>
  <c r="B158" i="8"/>
  <c r="AK16" i="6"/>
  <c r="AK17" i="6"/>
  <c r="R12" i="9"/>
  <c r="AE69" i="10"/>
  <c r="AE74" i="10" s="1"/>
  <c r="AM13" i="12"/>
  <c r="S12" i="10"/>
  <c r="S11" i="10" s="1" a="1"/>
  <c r="AM41" i="6" l="1"/>
  <c r="AN41" i="6"/>
  <c r="AO41" i="6"/>
  <c r="AP41" i="6"/>
  <c r="AQ41" i="6"/>
  <c r="AR41" i="6"/>
  <c r="AS41" i="6"/>
  <c r="AT41" i="6"/>
  <c r="AU41" i="6"/>
  <c r="AV41" i="6"/>
  <c r="AX41" i="6" a="1"/>
  <c r="AY41" i="6" a="1"/>
  <c r="BB41" i="6" a="1"/>
  <c r="BE41" i="6" a="1"/>
  <c r="BA41" i="6" a="1"/>
  <c r="BG41" i="6" a="1"/>
  <c r="BC41" i="6" a="1"/>
  <c r="AZ41" i="6" a="1"/>
  <c r="BD41" i="6" a="1"/>
  <c r="BF41" i="6" a="1"/>
  <c r="L41" i="12" a="1"/>
  <c r="J41" i="12" a="1"/>
  <c r="L36" i="12" a="1"/>
  <c r="J36" i="12" a="1"/>
  <c r="J20" i="12" a="1"/>
  <c r="L20" i="12" a="1"/>
  <c r="J28" i="12" a="1"/>
  <c r="L28" i="12" a="1"/>
  <c r="BG38" i="6" a="1"/>
  <c r="M39" i="6"/>
  <c r="BD38" i="6" a="1"/>
  <c r="AV38" i="6"/>
  <c r="AT38" i="6"/>
  <c r="M40" i="6"/>
  <c r="AO38" i="6"/>
  <c r="BC38" i="6" a="1"/>
  <c r="AZ38" i="6" a="1"/>
  <c r="AR38" i="6"/>
  <c r="BA38" i="6" a="1"/>
  <c r="BE38" i="6" a="1"/>
  <c r="AX38" i="6" a="1"/>
  <c r="AS38" i="6"/>
  <c r="BB38" i="6" a="1"/>
  <c r="AP38" i="6"/>
  <c r="AN38" i="6"/>
  <c r="BF38" i="6" a="1"/>
  <c r="AQ38" i="6"/>
  <c r="AY38" i="6" a="1"/>
  <c r="AU38" i="6"/>
  <c r="AM38" i="6"/>
  <c r="J26" i="12" a="1"/>
  <c r="L26" i="12" a="1"/>
  <c r="J25" i="12" a="1"/>
  <c r="L25" i="12" a="1"/>
  <c r="L18" i="12" a="1"/>
  <c r="L19" i="12" a="1"/>
  <c r="J31" i="12" a="1"/>
  <c r="J22" i="12" a="1"/>
  <c r="J29" i="12" a="1"/>
  <c r="L31" i="12" a="1"/>
  <c r="J23" i="12" a="1"/>
  <c r="L24" i="12" a="1"/>
  <c r="J19" i="12" a="1"/>
  <c r="J38" i="12" a="1"/>
  <c r="L29" i="12" a="1"/>
  <c r="J33" i="12" a="1"/>
  <c r="J18" i="12" a="1"/>
  <c r="J24" i="12" a="1"/>
  <c r="J32" i="12" a="1"/>
  <c r="J35" i="12" a="1"/>
  <c r="L32" i="12" a="1"/>
  <c r="L38" i="12" a="1"/>
  <c r="L23" i="12" a="1"/>
  <c r="L35" i="12" a="1"/>
  <c r="J43" i="12" a="1"/>
  <c r="L22" i="12" a="1"/>
  <c r="L33" i="12" a="1"/>
  <c r="L34" i="12" a="1"/>
  <c r="J34" i="12" a="1"/>
  <c r="L39" i="12" a="1"/>
  <c r="J39" i="12" a="1"/>
  <c r="L43" i="12" a="1"/>
  <c r="B161" i="8"/>
  <c r="B25" i="9"/>
  <c r="AO7" i="12" a="1"/>
  <c r="L14" i="12" a="1"/>
  <c r="J14" i="12" a="1"/>
  <c r="S12" i="9"/>
  <c r="T12" i="10"/>
  <c r="T11" i="10" s="1" a="1"/>
  <c r="K25" i="12" l="1"/>
  <c r="K41" i="12"/>
  <c r="K20" i="12"/>
  <c r="K28" i="12"/>
  <c r="K36" i="12"/>
  <c r="K26" i="12"/>
  <c r="AU39" i="6"/>
  <c r="BF39" i="6" a="1"/>
  <c r="AY39" i="6" a="1"/>
  <c r="AR39" i="6"/>
  <c r="BA39" i="6" a="1"/>
  <c r="AX39" i="6" a="1"/>
  <c r="AP39" i="6"/>
  <c r="AM39" i="6"/>
  <c r="AQ39" i="6"/>
  <c r="BB39" i="6" a="1"/>
  <c r="BE39" i="6" a="1"/>
  <c r="AZ39" i="6" a="1"/>
  <c r="BD39" i="6" a="1"/>
  <c r="AN39" i="6"/>
  <c r="AO39" i="6"/>
  <c r="AS39" i="6"/>
  <c r="AT39" i="6"/>
  <c r="BC39" i="6" a="1"/>
  <c r="BG39" i="6" a="1"/>
  <c r="AV39" i="6"/>
  <c r="AU40" i="6"/>
  <c r="BF40" i="6" a="1"/>
  <c r="AM40" i="6"/>
  <c r="AZ40" i="6" a="1"/>
  <c r="AS40" i="6"/>
  <c r="AX40" i="6" a="1"/>
  <c r="BB40" i="6" a="1"/>
  <c r="AQ40" i="6"/>
  <c r="AR40" i="6"/>
  <c r="AT40" i="6"/>
  <c r="AO40" i="6"/>
  <c r="BE40" i="6" a="1"/>
  <c r="BA40" i="6" a="1"/>
  <c r="BC40" i="6" a="1"/>
  <c r="AN40" i="6"/>
  <c r="AP40" i="6"/>
  <c r="BD40" i="6" a="1"/>
  <c r="AY40" i="6" a="1"/>
  <c r="BG40" i="6" a="1"/>
  <c r="AV40" i="6"/>
  <c r="K35" i="12"/>
  <c r="K22" i="12"/>
  <c r="K29" i="12"/>
  <c r="K18" i="12"/>
  <c r="K23" i="12"/>
  <c r="K19" i="12"/>
  <c r="K24" i="12"/>
  <c r="K32" i="12"/>
  <c r="K39" i="12"/>
  <c r="B26" i="9"/>
  <c r="K43" i="12"/>
  <c r="K34" i="12"/>
  <c r="K33" i="12"/>
  <c r="K38" i="12"/>
  <c r="K31" i="12"/>
  <c r="T12" i="9"/>
  <c r="K14" i="12"/>
  <c r="U12" i="10"/>
  <c r="U11" i="10" s="1" a="1"/>
  <c r="B27" i="9" l="1"/>
  <c r="U12" i="9"/>
  <c r="V12" i="10"/>
  <c r="V11" i="10" s="1" a="1"/>
  <c r="B28" i="9" l="1"/>
  <c r="V12" i="9"/>
  <c r="W12" i="10"/>
  <c r="W11" i="10" s="1" a="1"/>
  <c r="B29" i="9" l="1"/>
  <c r="W12" i="9"/>
  <c r="X12" i="10"/>
  <c r="X11" i="10" s="1" a="1"/>
  <c r="M42" i="6" l="1"/>
  <c r="M43" i="6" s="1"/>
  <c r="B30" i="9"/>
  <c r="X12" i="9"/>
  <c r="Y12" i="10"/>
  <c r="Y11" i="10" s="1" a="1"/>
  <c r="AS43" i="6" l="1"/>
  <c r="BA43" i="6" a="1"/>
  <c r="AR43" i="6"/>
  <c r="AM43" i="6"/>
  <c r="BG43" i="6" a="1"/>
  <c r="AN43" i="6"/>
  <c r="AV43" i="6"/>
  <c r="AT43" i="6"/>
  <c r="AP43" i="6"/>
  <c r="AX43" i="6" a="1"/>
  <c r="BE43" i="6" a="1"/>
  <c r="BF43" i="6" a="1"/>
  <c r="AU43" i="6"/>
  <c r="AQ43" i="6"/>
  <c r="BC43" i="6" a="1"/>
  <c r="AY43" i="6" a="1"/>
  <c r="AO43" i="6"/>
  <c r="AZ43" i="6" a="1"/>
  <c r="BB43" i="6" a="1"/>
  <c r="BD43" i="6" a="1"/>
  <c r="AN42" i="6"/>
  <c r="BC42" i="6" a="1"/>
  <c r="BD42" i="6" a="1"/>
  <c r="BF42" i="6" a="1"/>
  <c r="AR42" i="6"/>
  <c r="AX42" i="6" a="1"/>
  <c r="BA42" i="6" a="1"/>
  <c r="BG42" i="6" a="1"/>
  <c r="BB42" i="6" a="1"/>
  <c r="AV42" i="6"/>
  <c r="BE42" i="6" a="1"/>
  <c r="AT42" i="6"/>
  <c r="AU42" i="6"/>
  <c r="AY42" i="6" a="1"/>
  <c r="AS42" i="6"/>
  <c r="AM42" i="6"/>
  <c r="AP42" i="6"/>
  <c r="AQ42" i="6"/>
  <c r="AO42" i="6"/>
  <c r="AZ42" i="6" a="1"/>
  <c r="B31" i="9"/>
  <c r="Y12" i="9"/>
  <c r="Z12" i="10"/>
  <c r="Z11" i="10" s="1" a="1"/>
  <c r="B32" i="9" l="1"/>
  <c r="Z12" i="9"/>
  <c r="AA12" i="10"/>
  <c r="AA11" i="10" s="1" a="1"/>
  <c r="B33" i="9" l="1"/>
  <c r="AA12" i="9"/>
  <c r="AB12" i="10"/>
  <c r="AB11" i="10" s="1" a="1"/>
  <c r="B34" i="9" l="1"/>
  <c r="AB12" i="9"/>
  <c r="AC12" i="10"/>
  <c r="AC11" i="10" s="1" a="1"/>
  <c r="B35" i="9" l="1"/>
  <c r="AC12" i="9"/>
  <c r="AD12" i="10"/>
  <c r="AD11" i="10" s="1" a="1"/>
  <c r="B36" i="9" l="1"/>
  <c r="AD12" i="9"/>
  <c r="AE12" i="10"/>
  <c r="AE11" i="10" s="1" a="1"/>
  <c r="B37" i="9" l="1"/>
  <c r="AE12" i="9"/>
  <c r="AF12" i="10"/>
  <c r="AF11" i="10" s="1" a="1"/>
  <c r="B38" i="9" l="1"/>
  <c r="M1" i="6"/>
  <c r="H41" i="6" l="1" a="1"/>
  <c r="H36" i="6" a="1"/>
  <c r="H20" i="6" a="1"/>
  <c r="H28" i="6" a="1"/>
  <c r="H25" i="6" a="1"/>
  <c r="H26" i="6" a="1"/>
  <c r="B39" i="9"/>
  <c r="J16" i="6" a="1"/>
  <c r="J17" i="6" a="1"/>
  <c r="J21" i="6" a="1"/>
  <c r="J27" i="6" a="1"/>
  <c r="J30" i="6" a="1"/>
  <c r="H30" i="6" a="1"/>
  <c r="H33" i="6" a="1"/>
  <c r="H32" i="6" a="1"/>
  <c r="H21" i="6" a="1"/>
  <c r="H31" i="6" a="1"/>
  <c r="H18" i="6" a="1"/>
  <c r="H22" i="6" a="1"/>
  <c r="H23" i="6" a="1"/>
  <c r="H24" i="6" a="1"/>
  <c r="H27" i="6" a="1"/>
  <c r="H29" i="6" a="1"/>
  <c r="H19" i="6" a="1"/>
  <c r="H34" i="6" a="1"/>
  <c r="H35" i="6" a="1"/>
  <c r="J37" i="6" a="1"/>
  <c r="H37" i="6" a="1"/>
  <c r="H38" i="6" a="1"/>
  <c r="H39" i="6" a="1"/>
  <c r="H40" i="6" a="1"/>
  <c r="J42" i="6" a="1"/>
  <c r="H42" i="6" a="1"/>
  <c r="H43" i="6" a="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AK41" i="6" l="1"/>
  <c r="AJ41" i="6"/>
  <c r="AI41" i="6"/>
  <c r="AH41" i="6"/>
  <c r="AG41" i="6"/>
  <c r="AE41" i="6"/>
  <c r="AF41" i="6"/>
  <c r="AD41" i="6"/>
  <c r="AC41" i="6"/>
  <c r="AB41" i="6"/>
  <c r="T41" i="5"/>
  <c r="AK36" i="6"/>
  <c r="AJ36" i="6"/>
  <c r="AI36" i="6"/>
  <c r="AH36" i="6"/>
  <c r="AG36" i="6"/>
  <c r="AE36" i="6"/>
  <c r="AF36" i="6"/>
  <c r="AD36" i="6"/>
  <c r="AC36" i="6"/>
  <c r="AB36" i="6"/>
  <c r="T36" i="5"/>
  <c r="AK20" i="6"/>
  <c r="AJ20" i="6"/>
  <c r="AI20" i="6"/>
  <c r="AH20" i="6"/>
  <c r="AG20" i="6"/>
  <c r="AF20" i="6"/>
  <c r="AE20" i="6"/>
  <c r="AD20" i="6"/>
  <c r="AC20" i="6"/>
  <c r="AB20" i="6"/>
  <c r="T20" i="5"/>
  <c r="AK28" i="6"/>
  <c r="AJ28" i="6"/>
  <c r="AI28" i="6"/>
  <c r="AH28" i="6"/>
  <c r="AG28" i="6"/>
  <c r="AF28" i="6"/>
  <c r="AE28" i="6"/>
  <c r="AD28" i="6"/>
  <c r="AC28" i="6"/>
  <c r="AB28" i="6"/>
  <c r="T28" i="5"/>
  <c r="AK25" i="6"/>
  <c r="AJ25" i="6"/>
  <c r="AI25" i="6"/>
  <c r="AH25" i="6"/>
  <c r="AG25" i="6"/>
  <c r="AF25" i="6"/>
  <c r="AE25" i="6"/>
  <c r="AD25" i="6"/>
  <c r="AC25" i="6"/>
  <c r="AB25" i="6"/>
  <c r="T25" i="5"/>
  <c r="AK26" i="6"/>
  <c r="AJ26" i="6"/>
  <c r="AI26" i="6"/>
  <c r="AH26" i="6"/>
  <c r="AG26" i="6"/>
  <c r="AE26" i="6"/>
  <c r="AF26" i="6"/>
  <c r="AD26" i="6"/>
  <c r="AC26" i="6"/>
  <c r="AB26" i="6"/>
  <c r="T26" i="5"/>
  <c r="T24" i="5"/>
  <c r="AB24" i="6"/>
  <c r="AC24" i="6"/>
  <c r="AD24" i="6"/>
  <c r="AF24" i="6"/>
  <c r="AE24" i="6"/>
  <c r="AG24" i="6"/>
  <c r="AH24" i="6"/>
  <c r="AI24" i="6"/>
  <c r="AJ24" i="6"/>
  <c r="AK24" i="6"/>
  <c r="B40" i="9"/>
  <c r="T38" i="5"/>
  <c r="AB38" i="6"/>
  <c r="AC38" i="6"/>
  <c r="AD38" i="6"/>
  <c r="AF38" i="6"/>
  <c r="AE38" i="6"/>
  <c r="AG38" i="6"/>
  <c r="AH38" i="6"/>
  <c r="AI38" i="6"/>
  <c r="AJ38" i="6"/>
  <c r="AK38" i="6"/>
  <c r="T23" i="5"/>
  <c r="AB23" i="6"/>
  <c r="AC23" i="6"/>
  <c r="AD23" i="6"/>
  <c r="AE23" i="6"/>
  <c r="AF23" i="6"/>
  <c r="AG23" i="6"/>
  <c r="AH23" i="6"/>
  <c r="AI23" i="6"/>
  <c r="AJ23" i="6"/>
  <c r="AK23" i="6"/>
  <c r="T42" i="5"/>
  <c r="AB42" i="6"/>
  <c r="AC42" i="6"/>
  <c r="AD42" i="6"/>
  <c r="AF42" i="6"/>
  <c r="AE42" i="6"/>
  <c r="AG42" i="6"/>
  <c r="AH42" i="6"/>
  <c r="AI42" i="6"/>
  <c r="AJ42" i="6"/>
  <c r="AK42" i="6"/>
  <c r="T35" i="5"/>
  <c r="AB35" i="6"/>
  <c r="AC35" i="6"/>
  <c r="AD35" i="6"/>
  <c r="AF35" i="6"/>
  <c r="AE35" i="6"/>
  <c r="AG35" i="6"/>
  <c r="AH35" i="6"/>
  <c r="AI35" i="6"/>
  <c r="AJ35" i="6"/>
  <c r="AK35" i="6"/>
  <c r="T31" i="5"/>
  <c r="AB31" i="6"/>
  <c r="AC31" i="6"/>
  <c r="AD31" i="6"/>
  <c r="AF31" i="6"/>
  <c r="AE31" i="6"/>
  <c r="AG31" i="6"/>
  <c r="AH31" i="6"/>
  <c r="AI31" i="6"/>
  <c r="AJ31" i="6"/>
  <c r="AK31" i="6"/>
  <c r="T21" i="5"/>
  <c r="AB21" i="6"/>
  <c r="AC21" i="6"/>
  <c r="AD21" i="6"/>
  <c r="AF21" i="6"/>
  <c r="AE21" i="6"/>
  <c r="AG21" i="6"/>
  <c r="AH21" i="6"/>
  <c r="AI21" i="6"/>
  <c r="AJ21" i="6"/>
  <c r="AK21" i="6"/>
  <c r="T43" i="5"/>
  <c r="AB43" i="6"/>
  <c r="AC43" i="6"/>
  <c r="AD43" i="6"/>
  <c r="AF43" i="6"/>
  <c r="AE43" i="6"/>
  <c r="AG43" i="6"/>
  <c r="AH43" i="6"/>
  <c r="AI43" i="6"/>
  <c r="AJ43" i="6"/>
  <c r="AK43" i="6"/>
  <c r="T34" i="5"/>
  <c r="AB34" i="6"/>
  <c r="AC34" i="6"/>
  <c r="AD34" i="6"/>
  <c r="AE34" i="6"/>
  <c r="AF34" i="6"/>
  <c r="AG34" i="6"/>
  <c r="AH34" i="6"/>
  <c r="AI34" i="6"/>
  <c r="AJ34" i="6"/>
  <c r="AK34" i="6"/>
  <c r="T32" i="5"/>
  <c r="AB32" i="6"/>
  <c r="AC32" i="6"/>
  <c r="AD32" i="6"/>
  <c r="AF32" i="6"/>
  <c r="AE32" i="6"/>
  <c r="AG32" i="6"/>
  <c r="AH32" i="6"/>
  <c r="AI32" i="6"/>
  <c r="AJ32" i="6"/>
  <c r="AK32" i="6"/>
  <c r="T37" i="5"/>
  <c r="AB37" i="6"/>
  <c r="AC37" i="6"/>
  <c r="AD37" i="6"/>
  <c r="AF37" i="6"/>
  <c r="AE37" i="6"/>
  <c r="AG37" i="6"/>
  <c r="AH37" i="6"/>
  <c r="AI37" i="6"/>
  <c r="AJ37" i="6"/>
  <c r="AK37" i="6"/>
  <c r="T33" i="5"/>
  <c r="AB33" i="6"/>
  <c r="AC33" i="6"/>
  <c r="AD33" i="6"/>
  <c r="AF33" i="6"/>
  <c r="AE33" i="6"/>
  <c r="AG33" i="6"/>
  <c r="AH33" i="6"/>
  <c r="AI33" i="6"/>
  <c r="AJ33" i="6"/>
  <c r="AK33" i="6"/>
  <c r="T22" i="5"/>
  <c r="AB22" i="6"/>
  <c r="AC22" i="6"/>
  <c r="AD22" i="6"/>
  <c r="AF22" i="6"/>
  <c r="AE22" i="6"/>
  <c r="AG22" i="6"/>
  <c r="AH22" i="6"/>
  <c r="AI22" i="6"/>
  <c r="AJ22" i="6"/>
  <c r="AK22" i="6"/>
  <c r="T40" i="5"/>
  <c r="AB40" i="6"/>
  <c r="AC40" i="6"/>
  <c r="AD40" i="6"/>
  <c r="AF40" i="6"/>
  <c r="AE40" i="6"/>
  <c r="AG40" i="6"/>
  <c r="AH40" i="6"/>
  <c r="AI40" i="6"/>
  <c r="AJ40" i="6"/>
  <c r="AK40" i="6"/>
  <c r="T18" i="5"/>
  <c r="AB18" i="6"/>
  <c r="AC18" i="6"/>
  <c r="AD18" i="6"/>
  <c r="AF18" i="6"/>
  <c r="AE18" i="6"/>
  <c r="AG18" i="6"/>
  <c r="AH18" i="6"/>
  <c r="AI18" i="6"/>
  <c r="AJ18" i="6"/>
  <c r="AK18" i="6"/>
  <c r="T19" i="5"/>
  <c r="AB19" i="6"/>
  <c r="AC19" i="6"/>
  <c r="AD19" i="6"/>
  <c r="AF19" i="6"/>
  <c r="AE19" i="6"/>
  <c r="AG19" i="6"/>
  <c r="AH19" i="6"/>
  <c r="AI19" i="6"/>
  <c r="AJ19" i="6"/>
  <c r="AK19" i="6"/>
  <c r="T30" i="5"/>
  <c r="AB30" i="6"/>
  <c r="AC30" i="6"/>
  <c r="AD30" i="6"/>
  <c r="AF30" i="6"/>
  <c r="AE30" i="6"/>
  <c r="AG30" i="6"/>
  <c r="AH30" i="6"/>
  <c r="AI30" i="6"/>
  <c r="AJ30" i="6"/>
  <c r="AK30" i="6"/>
  <c r="T29" i="5"/>
  <c r="AB29" i="6"/>
  <c r="AC29" i="6"/>
  <c r="AD29" i="6"/>
  <c r="AE29" i="6"/>
  <c r="AF29" i="6"/>
  <c r="AG29" i="6"/>
  <c r="AH29" i="6"/>
  <c r="AI29" i="6"/>
  <c r="AJ29" i="6"/>
  <c r="AK29" i="6"/>
  <c r="T39" i="5"/>
  <c r="AB39" i="6"/>
  <c r="AC39" i="6"/>
  <c r="AD39" i="6"/>
  <c r="AF39" i="6"/>
  <c r="AE39" i="6"/>
  <c r="AG39" i="6"/>
  <c r="AH39" i="6"/>
  <c r="AI39" i="6"/>
  <c r="AJ39" i="6"/>
  <c r="AK39" i="6"/>
  <c r="T27" i="5"/>
  <c r="AB27" i="6"/>
  <c r="AC27" i="6"/>
  <c r="AD27" i="6"/>
  <c r="AF27" i="6"/>
  <c r="AE27" i="6"/>
  <c r="AG27" i="6"/>
  <c r="AH27" i="6"/>
  <c r="AI27" i="6"/>
  <c r="AJ27" i="6"/>
  <c r="AK27" i="6"/>
  <c r="I10" i="7"/>
  <c r="K13" i="7"/>
  <c r="L13" i="7" s="1"/>
  <c r="J10" i="7"/>
  <c r="X41" i="5" l="1" a="1"/>
  <c r="X36" i="5" a="1"/>
  <c r="G41" i="12" a="1"/>
  <c r="X20" i="5" a="1"/>
  <c r="Z20" i="5" s="1"/>
  <c r="G36" i="12" a="1"/>
  <c r="X28" i="5" a="1"/>
  <c r="G20" i="12" a="1"/>
  <c r="X25" i="5" a="1"/>
  <c r="G28" i="12" a="1"/>
  <c r="X26" i="5" a="1"/>
  <c r="G25" i="12" a="1"/>
  <c r="G26" i="12" a="1"/>
  <c r="G19" i="12" a="1"/>
  <c r="X35" i="5" a="1"/>
  <c r="G42" i="12" a="1"/>
  <c r="B41" i="9"/>
  <c r="G30" i="12" a="1"/>
  <c r="X31" i="5" a="1"/>
  <c r="G35" i="12" a="1"/>
  <c r="X43" i="5" a="1"/>
  <c r="G21" i="12" a="1"/>
  <c r="G31" i="12" a="1"/>
  <c r="X22" i="5" a="1"/>
  <c r="X29" i="5" a="1"/>
  <c r="G22" i="12" a="1"/>
  <c r="G37" i="12" a="1"/>
  <c r="G40" i="12" a="1"/>
  <c r="X34" i="5" a="1"/>
  <c r="G43" i="12" a="1"/>
  <c r="X32" i="5" a="1"/>
  <c r="G34" i="12" a="1"/>
  <c r="X38" i="5" a="1"/>
  <c r="G39" i="12" a="1"/>
  <c r="G18" i="12" a="1"/>
  <c r="X33" i="5" a="1"/>
  <c r="G32" i="12" a="1"/>
  <c r="G38" i="12" a="1"/>
  <c r="G29" i="12" a="1"/>
  <c r="X39" i="5" a="1"/>
  <c r="X18" i="5" a="1"/>
  <c r="G27" i="12" a="1"/>
  <c r="G33" i="12" a="1"/>
  <c r="X23" i="5" a="1"/>
  <c r="X24" i="5" a="1"/>
  <c r="X19" i="5" a="1"/>
  <c r="G23" i="12" a="1"/>
  <c r="G24" i="12" a="1"/>
  <c r="M13" i="7"/>
  <c r="L10" i="7"/>
  <c r="L41" i="5" l="1"/>
  <c r="I41" i="12"/>
  <c r="AM41" i="5"/>
  <c r="Z41" i="5"/>
  <c r="AB41" i="5" s="1" a="1"/>
  <c r="L36" i="5"/>
  <c r="I36" i="12"/>
  <c r="AO36" i="12" s="1" a="1"/>
  <c r="AM36" i="5"/>
  <c r="Z36" i="5"/>
  <c r="AB36" i="5" s="1" a="1"/>
  <c r="L20" i="5"/>
  <c r="C20" i="6" s="1"/>
  <c r="I20" i="12"/>
  <c r="AM20" i="5"/>
  <c r="L28" i="5"/>
  <c r="I28" i="12"/>
  <c r="AM28" i="5"/>
  <c r="Z28" i="5"/>
  <c r="AB28" i="5" s="1" a="1"/>
  <c r="AB20" i="5" a="1"/>
  <c r="I25" i="12"/>
  <c r="M25" i="12" s="1" a="1"/>
  <c r="L25" i="5"/>
  <c r="AM25" i="5"/>
  <c r="Z25" i="5"/>
  <c r="AB25" i="5" s="1" a="1"/>
  <c r="I26" i="12"/>
  <c r="L26" i="5"/>
  <c r="AM26" i="5"/>
  <c r="Z26" i="5"/>
  <c r="AB26" i="5" s="1" a="1"/>
  <c r="I23" i="12"/>
  <c r="AM23" i="5"/>
  <c r="L23" i="5"/>
  <c r="Z23" i="5"/>
  <c r="I39" i="12"/>
  <c r="L39" i="5"/>
  <c r="AM39" i="5"/>
  <c r="Z39" i="5"/>
  <c r="I33" i="12"/>
  <c r="AM33" i="5"/>
  <c r="L33" i="5"/>
  <c r="Z33" i="5"/>
  <c r="B42" i="9"/>
  <c r="I38" i="12"/>
  <c r="AM38" i="5"/>
  <c r="L38" i="5"/>
  <c r="Z38" i="5"/>
  <c r="I31" i="12"/>
  <c r="L31" i="5"/>
  <c r="AM31" i="5"/>
  <c r="Z31" i="5"/>
  <c r="I29" i="12"/>
  <c r="AM29" i="5"/>
  <c r="L29" i="5"/>
  <c r="Z29" i="5"/>
  <c r="I35" i="12"/>
  <c r="AM35" i="5"/>
  <c r="L35" i="5"/>
  <c r="Z35" i="5"/>
  <c r="I34" i="12"/>
  <c r="L34" i="5"/>
  <c r="AM34" i="5"/>
  <c r="Z34" i="5"/>
  <c r="I43" i="12"/>
  <c r="L43" i="5"/>
  <c r="AM43" i="5"/>
  <c r="Z43" i="5"/>
  <c r="I18" i="12"/>
  <c r="AM18" i="5"/>
  <c r="L18" i="5"/>
  <c r="Z18" i="5"/>
  <c r="I18" i="5"/>
  <c r="I19" i="5" s="1"/>
  <c r="I22" i="12"/>
  <c r="AM22" i="5"/>
  <c r="L22" i="5"/>
  <c r="Z22" i="5"/>
  <c r="I24" i="12"/>
  <c r="AM24" i="5"/>
  <c r="L24" i="5"/>
  <c r="Z24" i="5"/>
  <c r="I19" i="12"/>
  <c r="L19" i="5"/>
  <c r="AM19" i="5"/>
  <c r="Z19" i="5"/>
  <c r="I32" i="12"/>
  <c r="AM32" i="5"/>
  <c r="L32" i="5"/>
  <c r="Z32" i="5"/>
  <c r="N13" i="7"/>
  <c r="M10" i="7"/>
  <c r="AC41" i="5" l="1" a="1"/>
  <c r="C41" i="6"/>
  <c r="C41" i="12"/>
  <c r="AO41" i="12" a="1"/>
  <c r="O41" i="12" a="1"/>
  <c r="M41" i="12" a="1"/>
  <c r="AC36" i="5" a="1"/>
  <c r="C36" i="6"/>
  <c r="O36" i="12" a="1"/>
  <c r="M36" i="12" a="1"/>
  <c r="C36" i="12"/>
  <c r="AC20" i="5" a="1"/>
  <c r="AO20" i="12" a="1"/>
  <c r="O20" i="12" a="1"/>
  <c r="M20" i="12" a="1"/>
  <c r="C20" i="12"/>
  <c r="AC28" i="5" a="1"/>
  <c r="C28" i="6"/>
  <c r="O28" i="12" a="1"/>
  <c r="M28" i="12" a="1"/>
  <c r="AO28" i="12" a="1"/>
  <c r="C28" i="12"/>
  <c r="O25" i="12" a="1"/>
  <c r="N25" i="12" s="1"/>
  <c r="AO25" i="12" a="1"/>
  <c r="C25" i="12"/>
  <c r="AC25" i="5" a="1"/>
  <c r="C25" i="6"/>
  <c r="O26" i="12" a="1"/>
  <c r="AO26" i="12" a="1"/>
  <c r="M26" i="12" a="1"/>
  <c r="C26" i="12"/>
  <c r="AC26" i="5" a="1"/>
  <c r="C26" i="6"/>
  <c r="I21" i="5"/>
  <c r="I22" i="5" s="1"/>
  <c r="I23" i="5" s="1"/>
  <c r="I24" i="5" s="1"/>
  <c r="I25" i="5" s="1"/>
  <c r="I26" i="5" s="1"/>
  <c r="I20" i="5"/>
  <c r="I27" i="5"/>
  <c r="I28" i="5" s="1"/>
  <c r="I29" i="5" s="1"/>
  <c r="I30" i="5" s="1"/>
  <c r="I31" i="5" s="1"/>
  <c r="I32" i="5" s="1"/>
  <c r="I33" i="5" s="1"/>
  <c r="I34" i="5" s="1"/>
  <c r="I35" i="5" s="1"/>
  <c r="C29" i="12"/>
  <c r="O29" i="12" a="1"/>
  <c r="M29" i="12" a="1"/>
  <c r="AO29" i="12" a="1"/>
  <c r="C31" i="6"/>
  <c r="C32" i="6"/>
  <c r="C43" i="12"/>
  <c r="M43" i="12" a="1"/>
  <c r="AO43" i="12" a="1"/>
  <c r="O43" i="12" a="1"/>
  <c r="C34" i="6"/>
  <c r="C31" i="12"/>
  <c r="AO31" i="12" a="1"/>
  <c r="M31" i="12" a="1"/>
  <c r="O31" i="12" a="1"/>
  <c r="C43" i="6"/>
  <c r="AB22" i="5" a="1"/>
  <c r="C34" i="12"/>
  <c r="O34" i="12" a="1"/>
  <c r="M34" i="12" a="1"/>
  <c r="AO34" i="12" a="1"/>
  <c r="AB23" i="5" a="1"/>
  <c r="C38" i="6"/>
  <c r="AB19" i="5" a="1"/>
  <c r="C24" i="6"/>
  <c r="C22" i="12"/>
  <c r="O22" i="12" a="1"/>
  <c r="M22" i="12" a="1"/>
  <c r="AO22" i="12" a="1"/>
  <c r="C35" i="6"/>
  <c r="AB39" i="5" a="1"/>
  <c r="C23" i="12"/>
  <c r="O23" i="12" a="1"/>
  <c r="M23" i="12" a="1"/>
  <c r="AO23" i="12" a="1"/>
  <c r="C38" i="12"/>
  <c r="O38" i="12" a="1"/>
  <c r="AO38" i="12" a="1"/>
  <c r="M38" i="12" a="1"/>
  <c r="AB33" i="5" a="1"/>
  <c r="C35" i="12"/>
  <c r="O35" i="12" a="1"/>
  <c r="AO35" i="12" a="1"/>
  <c r="M35" i="12" a="1"/>
  <c r="C33" i="6"/>
  <c r="C39" i="6"/>
  <c r="C32" i="12"/>
  <c r="O32" i="12" a="1"/>
  <c r="AO32" i="12" a="1"/>
  <c r="M32" i="12" a="1"/>
  <c r="AB24" i="5" a="1"/>
  <c r="C22" i="6"/>
  <c r="AB38" i="5" a="1"/>
  <c r="AB18" i="5" a="1"/>
  <c r="C19" i="12"/>
  <c r="AO19" i="12" a="1"/>
  <c r="M19" i="12" a="1"/>
  <c r="O19" i="12" a="1"/>
  <c r="C18" i="6"/>
  <c r="AB29" i="5" a="1"/>
  <c r="C39" i="12"/>
  <c r="AO39" i="12" a="1"/>
  <c r="O39" i="12" a="1"/>
  <c r="M39" i="12" a="1"/>
  <c r="AB35" i="5" a="1"/>
  <c r="C23" i="6"/>
  <c r="C19" i="6"/>
  <c r="C33" i="12"/>
  <c r="M33" i="12" a="1"/>
  <c r="AO33" i="12" a="1"/>
  <c r="O33" i="12" a="1"/>
  <c r="C24" i="12"/>
  <c r="O24" i="12" a="1"/>
  <c r="AO24" i="12" a="1"/>
  <c r="M24" i="12" a="1"/>
  <c r="C18" i="12"/>
  <c r="O18" i="12" a="1"/>
  <c r="M18" i="12" a="1"/>
  <c r="AO18" i="12" a="1"/>
  <c r="AB43" i="5" a="1"/>
  <c r="C29" i="6"/>
  <c r="AB31" i="5" a="1"/>
  <c r="AB32" i="5" a="1"/>
  <c r="AB34" i="5" a="1"/>
  <c r="B43" i="9"/>
  <c r="O13" i="7"/>
  <c r="N10" i="7"/>
  <c r="Y41" i="12" l="1"/>
  <c r="N41" i="12"/>
  <c r="Y36" i="12"/>
  <c r="N36" i="12"/>
  <c r="Y26" i="12"/>
  <c r="N20" i="12"/>
  <c r="Y20" i="12"/>
  <c r="Y28" i="12"/>
  <c r="Y25" i="12"/>
  <c r="N28" i="12"/>
  <c r="I37" i="5"/>
  <c r="I38" i="5" s="1"/>
  <c r="I39" i="5" s="1"/>
  <c r="I36" i="5"/>
  <c r="N26" i="12"/>
  <c r="Y23" i="12"/>
  <c r="W23" i="12" s="1" a="1"/>
  <c r="N34" i="12"/>
  <c r="N19" i="12"/>
  <c r="Y24" i="12"/>
  <c r="X24" i="12" s="1" a="1"/>
  <c r="N31" i="12"/>
  <c r="Y43" i="12"/>
  <c r="X43" i="12" s="1" a="1"/>
  <c r="Y39" i="12"/>
  <c r="X39" i="12" s="1" a="1"/>
  <c r="N32" i="12"/>
  <c r="Y35" i="12"/>
  <c r="W35" i="12" s="1" a="1"/>
  <c r="N43" i="12"/>
  <c r="Y31" i="12"/>
  <c r="X31" i="12" s="1" a="1"/>
  <c r="Y38" i="12"/>
  <c r="W38" i="12" s="1" a="1"/>
  <c r="N29" i="12"/>
  <c r="Y18" i="12"/>
  <c r="X18" i="12" s="1" a="1"/>
  <c r="N33" i="12"/>
  <c r="Y22" i="12"/>
  <c r="Y29" i="12"/>
  <c r="Y33" i="12"/>
  <c r="N35" i="12"/>
  <c r="Y32" i="12"/>
  <c r="N22" i="12"/>
  <c r="N39" i="12"/>
  <c r="Y34" i="12"/>
  <c r="N38" i="12"/>
  <c r="Y19" i="12"/>
  <c r="N24" i="12"/>
  <c r="N18" i="12"/>
  <c r="B44" i="9"/>
  <c r="N23" i="12"/>
  <c r="P13" i="7"/>
  <c r="O10" i="7"/>
  <c r="W41" i="12" l="1" a="1"/>
  <c r="X41" i="12" a="1"/>
  <c r="W36" i="12" a="1"/>
  <c r="X36" i="12" a="1"/>
  <c r="X26" i="12" a="1"/>
  <c r="W26" i="12" a="1"/>
  <c r="W20" i="12" a="1"/>
  <c r="X20" i="12" a="1"/>
  <c r="X28" i="12" a="1"/>
  <c r="W28" i="12" a="1"/>
  <c r="X25" i="12" a="1"/>
  <c r="W25" i="12" a="1"/>
  <c r="X23" i="12" a="1"/>
  <c r="W24" i="12" a="1"/>
  <c r="T24" i="12" s="1"/>
  <c r="W43" i="12" a="1"/>
  <c r="T43" i="12" s="1"/>
  <c r="W39" i="12" a="1"/>
  <c r="V39" i="12" s="1" a="1"/>
  <c r="X38" i="12" a="1"/>
  <c r="X35" i="12" a="1"/>
  <c r="W18" i="12" a="1"/>
  <c r="V18" i="12" s="1" a="1"/>
  <c r="W31" i="12" a="1"/>
  <c r="V31" i="12" s="1" a="1"/>
  <c r="X32" i="12" a="1"/>
  <c r="W32" i="12" a="1"/>
  <c r="X33" i="12" a="1"/>
  <c r="W33" i="12" a="1"/>
  <c r="W22" i="12" a="1"/>
  <c r="X22" i="12" a="1"/>
  <c r="V38" i="12" a="1"/>
  <c r="U38" i="12"/>
  <c r="T38" i="12"/>
  <c r="W19" i="12" a="1"/>
  <c r="X19" i="12" a="1"/>
  <c r="V35" i="12" a="1"/>
  <c r="U35" i="12"/>
  <c r="T35" i="12"/>
  <c r="X34" i="12" a="1"/>
  <c r="W34" i="12" a="1"/>
  <c r="B45" i="9"/>
  <c r="U23" i="12"/>
  <c r="T23" i="12"/>
  <c r="V23" i="12" a="1"/>
  <c r="X29" i="12" a="1"/>
  <c r="W29" i="12" a="1"/>
  <c r="Q13" i="7"/>
  <c r="P10" i="7"/>
  <c r="T41" i="12" l="1"/>
  <c r="U41" i="12"/>
  <c r="V41" i="12" a="1"/>
  <c r="T36" i="12"/>
  <c r="U36" i="12"/>
  <c r="V36" i="12" a="1"/>
  <c r="V26" i="12" a="1"/>
  <c r="T26" i="12"/>
  <c r="U26" i="12"/>
  <c r="T20" i="12"/>
  <c r="U20" i="12"/>
  <c r="V20" i="12" a="1"/>
  <c r="T28" i="12"/>
  <c r="U28" i="12"/>
  <c r="V28" i="12" a="1"/>
  <c r="T25" i="12"/>
  <c r="U25" i="12"/>
  <c r="V25" i="12" a="1"/>
  <c r="V24" i="12" a="1"/>
  <c r="U24" i="12"/>
  <c r="U43" i="12"/>
  <c r="V43" i="12" a="1"/>
  <c r="T39" i="12"/>
  <c r="U39" i="12"/>
  <c r="U18" i="12"/>
  <c r="T18" i="12"/>
  <c r="U31" i="12"/>
  <c r="T31" i="12"/>
  <c r="V29" i="12" a="1"/>
  <c r="U29" i="12"/>
  <c r="T29" i="12"/>
  <c r="T32" i="12"/>
  <c r="V32" i="12" a="1"/>
  <c r="U32" i="12"/>
  <c r="V22" i="12" a="1"/>
  <c r="U22" i="12"/>
  <c r="T22" i="12"/>
  <c r="V33" i="12" a="1"/>
  <c r="U33" i="12"/>
  <c r="T33" i="12"/>
  <c r="V34" i="12" a="1"/>
  <c r="U34" i="12"/>
  <c r="T34" i="12"/>
  <c r="B46" i="9"/>
  <c r="V19" i="12" a="1"/>
  <c r="T19" i="12"/>
  <c r="U19" i="12"/>
  <c r="R13" i="7"/>
  <c r="Q10" i="7"/>
  <c r="B47" i="9" l="1"/>
  <c r="S13" i="7"/>
  <c r="R10" i="7"/>
  <c r="B48" i="9" l="1"/>
  <c r="T13" i="7"/>
  <c r="S10" i="7"/>
  <c r="B49" i="9" l="1"/>
  <c r="U13" i="7"/>
  <c r="T10" i="7"/>
  <c r="B50" i="9" l="1"/>
  <c r="V13" i="7"/>
  <c r="U10" i="7"/>
  <c r="K10" i="7"/>
  <c r="B51" i="9" l="1"/>
  <c r="W13" i="7"/>
  <c r="V10" i="7"/>
  <c r="T14" i="5"/>
  <c r="G14" i="12" s="1" a="1"/>
  <c r="B52" i="9" l="1"/>
  <c r="X13" i="7"/>
  <c r="W10" i="7"/>
  <c r="B53" i="9" l="1"/>
  <c r="Y13" i="7"/>
  <c r="X10" i="7"/>
  <c r="A8" i="9"/>
  <c r="B7" i="9" a="1"/>
  <c r="B54" i="9" l="1"/>
  <c r="Y10" i="7"/>
  <c r="D15" i="7"/>
  <c r="C16" i="7" s="1" a="1"/>
  <c r="B15" i="10"/>
  <c r="B16" i="10" s="1"/>
  <c r="B55" i="9" l="1"/>
  <c r="B17" i="10"/>
  <c r="B16" i="7"/>
  <c r="C17" i="7" a="1"/>
  <c r="A15" i="10"/>
  <c r="B15" i="7"/>
  <c r="C15" i="9"/>
  <c r="F15" i="9" s="1"/>
  <c r="C15" i="10"/>
  <c r="A15" i="7"/>
  <c r="B56" i="9" l="1"/>
  <c r="B17" i="7"/>
  <c r="C18" i="7" a="1"/>
  <c r="B18" i="10"/>
  <c r="D21" i="2"/>
  <c r="C19" i="7" l="1" a="1"/>
  <c r="B18" i="7"/>
  <c r="B57" i="9"/>
  <c r="B19" i="10"/>
  <c r="N14" i="6"/>
  <c r="B20" i="10" l="1"/>
  <c r="B58" i="9"/>
  <c r="C20" i="7" a="1"/>
  <c r="B19" i="7"/>
  <c r="U1" i="7" a="1"/>
  <c r="W1" i="7" a="1"/>
  <c r="Y1" i="7" a="1"/>
  <c r="S1" i="7" a="1"/>
  <c r="T1" i="7" a="1"/>
  <c r="V1" i="7" a="1"/>
  <c r="X1" i="7" a="1"/>
  <c r="B59" i="9" l="1"/>
  <c r="B21" i="10"/>
  <c r="C21" i="7" a="1"/>
  <c r="B20" i="7"/>
  <c r="R1" i="7" a="1"/>
  <c r="M1" i="7" a="1"/>
  <c r="P1" i="7" a="1"/>
  <c r="Q1" i="7" a="1"/>
  <c r="O1" i="7" a="1"/>
  <c r="N1" i="7" a="1"/>
  <c r="B21" i="7" l="1"/>
  <c r="C22" i="7" a="1"/>
  <c r="B60" i="9"/>
  <c r="B22" i="10"/>
  <c r="A10" i="9"/>
  <c r="F15" i="7" a="1"/>
  <c r="B23" i="10" l="1"/>
  <c r="B22" i="7"/>
  <c r="C23" i="7" a="1"/>
  <c r="B61" i="9"/>
  <c r="I15" i="7"/>
  <c r="J15" i="7"/>
  <c r="J1" i="7" a="1"/>
  <c r="Q15" i="7"/>
  <c r="Q14" i="7" s="1"/>
  <c r="L1" i="7" a="1"/>
  <c r="L15" i="7"/>
  <c r="K15" i="7"/>
  <c r="K1" i="7" a="1"/>
  <c r="B23" i="7" l="1"/>
  <c r="C24" i="7" a="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B24" i="7"/>
  <c r="B25" i="10"/>
  <c r="B63" i="9"/>
  <c r="H15" i="7"/>
  <c r="E15" i="7"/>
  <c r="B25" i="7" l="1"/>
  <c r="C26" i="7" a="1"/>
  <c r="B26" i="10"/>
  <c r="B64" i="9"/>
  <c r="B26" i="7" l="1"/>
  <c r="C27" i="7" a="1"/>
  <c r="B27" i="10"/>
  <c r="B28" i="10" l="1"/>
  <c r="B27" i="7"/>
  <c r="C28" i="7" a="1"/>
  <c r="AO12" i="13"/>
  <c r="AL12" i="13"/>
  <c r="B29" i="10" l="1"/>
  <c r="C29" i="7" a="1"/>
  <c r="B28" i="7"/>
  <c r="AN12" i="13" a="1"/>
  <c r="AK12" i="13" a="1"/>
  <c r="AJ12" i="13" a="1"/>
  <c r="B30" i="10" l="1"/>
  <c r="C30" i="7" a="1"/>
  <c r="B29" i="7"/>
  <c r="O15" i="12" a="1"/>
  <c r="M15" i="12" a="1"/>
  <c r="J14" i="6" a="1"/>
  <c r="B31" i="10" l="1"/>
  <c r="C31" i="7" a="1"/>
  <c r="B30" i="7"/>
  <c r="I15" i="12" a="1"/>
  <c r="J15" i="12" a="1"/>
  <c r="L15" i="12" a="1"/>
  <c r="C32" i="7" l="1" a="1"/>
  <c r="B31" i="7"/>
  <c r="B32" i="10"/>
  <c r="K15" i="12"/>
  <c r="N15" i="12"/>
  <c r="P10" i="12"/>
  <c r="O10" i="12" s="1"/>
  <c r="B33" i="10" l="1"/>
  <c r="C33" i="7" a="1"/>
  <c r="B32" i="7"/>
  <c r="M14" i="6"/>
  <c r="B34" i="10" l="1"/>
  <c r="C34" i="7" a="1"/>
  <c r="B33" i="7"/>
  <c r="AX14" i="6" a="1"/>
  <c r="AT14" i="6"/>
  <c r="BC14" i="6" a="1"/>
  <c r="AB14" i="6"/>
  <c r="AM14" i="6"/>
  <c r="AN14" i="6"/>
  <c r="AD14" i="6"/>
  <c r="BF14" i="6" a="1"/>
  <c r="BG14" i="6" a="1"/>
  <c r="AO14" i="6"/>
  <c r="BE14" i="6" a="1"/>
  <c r="AE14" i="6"/>
  <c r="BA14" i="6" a="1"/>
  <c r="BB14" i="6" a="1"/>
  <c r="AP14" i="6"/>
  <c r="AQ14" i="6"/>
  <c r="AH14" i="6"/>
  <c r="AY14" i="6" a="1"/>
  <c r="AR14" i="6"/>
  <c r="AU14" i="6"/>
  <c r="AK14" i="6"/>
  <c r="BD14" i="6" a="1"/>
  <c r="AI14" i="6"/>
  <c r="AG14" i="6"/>
  <c r="AS14" i="6"/>
  <c r="AJ14" i="6"/>
  <c r="AV14" i="6"/>
  <c r="AC14" i="6"/>
  <c r="AZ14" i="6" a="1"/>
  <c r="AF14" i="6"/>
  <c r="C35" i="7" l="1" a="1"/>
  <c r="B34" i="7"/>
  <c r="B35" i="10"/>
  <c r="X14" i="5" a="1"/>
  <c r="C36" i="7" l="1" a="1"/>
  <c r="B35" i="7"/>
  <c r="B36" i="10"/>
  <c r="I14" i="5"/>
  <c r="I14" i="12"/>
  <c r="L14" i="5"/>
  <c r="AM14" i="5"/>
  <c r="Z14" i="5"/>
  <c r="C37" i="7" l="1" a="1"/>
  <c r="B36" i="7"/>
  <c r="B37" i="10"/>
  <c r="O14" i="5"/>
  <c r="AA14" i="5" a="1"/>
  <c r="AB14" i="5" a="1"/>
  <c r="AO14" i="12" a="1"/>
  <c r="C14" i="12"/>
  <c r="M14" i="12" a="1"/>
  <c r="O14" i="12" a="1"/>
  <c r="C38" i="7" l="1" a="1"/>
  <c r="B37" i="7"/>
  <c r="B38" i="10"/>
  <c r="N14" i="12"/>
  <c r="Y14" i="12"/>
  <c r="D14" i="12"/>
  <c r="C39" i="7" l="1" a="1"/>
  <c r="B38" i="7"/>
  <c r="B39" i="10"/>
  <c r="W14" i="12" a="1"/>
  <c r="X14" i="12" a="1"/>
  <c r="B40" i="10" l="1"/>
  <c r="B39" i="7"/>
  <c r="C40" i="7" a="1"/>
  <c r="U14" i="12"/>
  <c r="V14" i="12" a="1"/>
  <c r="T14" i="12"/>
  <c r="B40" i="7" l="1"/>
  <c r="C41" i="7" a="1"/>
  <c r="B41" i="10"/>
  <c r="AG14" i="5" a="1"/>
  <c r="S14" i="5" a="1"/>
  <c r="F14" i="12" s="1" a="1"/>
  <c r="C42" i="7" l="1" a="1"/>
  <c r="B41" i="7"/>
  <c r="B42" i="10"/>
  <c r="E14" i="12"/>
  <c r="AC14" i="5" a="1"/>
  <c r="C43" i="7" l="1" a="1"/>
  <c r="B42" i="7"/>
  <c r="B43" i="10"/>
  <c r="I1" i="7" a="1"/>
  <c r="B43" i="7" l="1"/>
  <c r="C44" i="7" a="1"/>
  <c r="B44" i="10"/>
  <c r="F1" i="7"/>
  <c r="E1" i="7" a="1"/>
  <c r="H1" i="7" a="1"/>
  <c r="I14" i="7"/>
  <c r="B44" i="7" l="1"/>
  <c r="C45" i="7" a="1"/>
  <c r="B45" i="10"/>
  <c r="F14" i="7"/>
  <c r="H14" i="7"/>
  <c r="E14" i="7"/>
  <c r="B46" i="10" l="1"/>
  <c r="B45" i="7"/>
  <c r="C46" i="7" a="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B46" i="7" l="1"/>
  <c r="C47" i="7" a="1"/>
  <c r="B47" i="10"/>
  <c r="F6" i="7"/>
  <c r="B48" i="10" l="1"/>
  <c r="C48" i="7" a="1"/>
  <c r="B47" i="7"/>
  <c r="B49" i="10" l="1"/>
  <c r="C49" i="7" a="1"/>
  <c r="B48" i="7"/>
  <c r="J10" i="13"/>
  <c r="B50" i="10" l="1"/>
  <c r="C50" i="7" a="1"/>
  <c r="B49" i="7"/>
  <c r="B51" i="10" l="1"/>
  <c r="C51" i="7" a="1"/>
  <c r="B50" i="7"/>
  <c r="B52" i="10" l="1"/>
  <c r="C52" i="7" a="1"/>
  <c r="B51" i="7"/>
  <c r="B52" i="7" l="1"/>
  <c r="C53" i="7" a="1"/>
  <c r="B53" i="10"/>
  <c r="B54" i="10" l="1"/>
  <c r="C54" i="7" a="1"/>
  <c r="B53" i="7"/>
  <c r="B54" i="7" l="1"/>
  <c r="C55" i="7" a="1"/>
  <c r="B55" i="10"/>
  <c r="B55" i="7" l="1"/>
  <c r="C56" i="7" a="1"/>
  <c r="B56" i="10"/>
  <c r="B56" i="7" l="1"/>
  <c r="C57" i="7" a="1"/>
  <c r="B57" i="10"/>
  <c r="B58" i="10" l="1"/>
  <c r="C58" i="7" a="1"/>
  <c r="B57" i="7"/>
  <c r="B59" i="10" l="1"/>
  <c r="B58" i="7"/>
  <c r="C59" i="7" a="1"/>
  <c r="C60" i="7" l="1" a="1"/>
  <c r="B59" i="7"/>
  <c r="B60" i="10"/>
  <c r="B61" i="10" l="1"/>
  <c r="C61" i="7" a="1"/>
  <c r="B60" i="7"/>
  <c r="B61" i="7" l="1"/>
  <c r="C62" i="7" a="1"/>
  <c r="B62" i="10"/>
  <c r="B62" i="7" l="1"/>
  <c r="C63" i="7" a="1"/>
  <c r="B63" i="10"/>
  <c r="B64" i="10" l="1"/>
  <c r="C64" i="7" a="1"/>
  <c r="B63" i="7"/>
  <c r="B64" i="7" l="1"/>
  <c r="C10" i="7"/>
  <c r="L44" i="6" l="1"/>
  <c r="A5" i="5"/>
  <c r="O20" i="5" s="1"/>
  <c r="D20" i="12" l="1"/>
  <c r="E20" i="6"/>
  <c r="O36" i="5"/>
  <c r="O28" i="5"/>
  <c r="O25" i="5"/>
  <c r="O26" i="5"/>
  <c r="O38" i="5"/>
  <c r="D38" i="12" s="1"/>
  <c r="O39" i="5"/>
  <c r="O35" i="5"/>
  <c r="E35" i="6" s="1"/>
  <c r="O33" i="5"/>
  <c r="D33" i="12" s="1"/>
  <c r="O34" i="5"/>
  <c r="O31" i="5"/>
  <c r="E31" i="6" s="1"/>
  <c r="O32" i="5"/>
  <c r="O24" i="5"/>
  <c r="D24" i="12" s="1"/>
  <c r="O29" i="5"/>
  <c r="O22" i="5"/>
  <c r="D22" i="12" s="1"/>
  <c r="O23" i="5"/>
  <c r="O18" i="5"/>
  <c r="D18" i="12" s="1"/>
  <c r="O19" i="5"/>
  <c r="K42" i="5"/>
  <c r="J42" i="5"/>
  <c r="J40" i="5"/>
  <c r="K40" i="5"/>
  <c r="D40" i="5" s="1"/>
  <c r="J37" i="5"/>
  <c r="K37" i="5"/>
  <c r="K30" i="5"/>
  <c r="J30" i="5"/>
  <c r="K27" i="5"/>
  <c r="J27" i="5"/>
  <c r="J21" i="5"/>
  <c r="K21" i="5"/>
  <c r="F23" i="8" a="1"/>
  <c r="F17" i="8" a="1"/>
  <c r="F18" i="8" s="1"/>
  <c r="F20" i="8" a="1"/>
  <c r="F29" i="8" a="1"/>
  <c r="F26" i="8" a="1"/>
  <c r="F14" i="8" a="1"/>
  <c r="F15" i="8" s="1"/>
  <c r="F32" i="8" a="1"/>
  <c r="F35" i="8" a="1"/>
  <c r="F44" i="8" a="1"/>
  <c r="F38" i="8" a="1"/>
  <c r="F56" i="8" a="1"/>
  <c r="F50" i="8" a="1"/>
  <c r="F41" i="8" a="1"/>
  <c r="F47" i="8" a="1"/>
  <c r="F62" i="8" a="1"/>
  <c r="F53" i="8" a="1"/>
  <c r="F59" i="8" a="1"/>
  <c r="F71" i="8" a="1"/>
  <c r="F65" i="8" a="1"/>
  <c r="F68" i="8" a="1"/>
  <c r="F74" i="8" a="1"/>
  <c r="F83" i="8" a="1"/>
  <c r="F77" i="8" a="1"/>
  <c r="F80" i="8" a="1"/>
  <c r="F86" i="8" a="1"/>
  <c r="F89" i="8" a="1"/>
  <c r="F92" i="8" a="1"/>
  <c r="F95" i="8" a="1"/>
  <c r="F101" i="8" a="1"/>
  <c r="F98" i="8" a="1"/>
  <c r="F104" i="8" a="1"/>
  <c r="F107" i="8" a="1"/>
  <c r="F110" i="8" a="1"/>
  <c r="F119" i="8" a="1"/>
  <c r="F113" i="8" a="1"/>
  <c r="F116" i="8" a="1"/>
  <c r="F125" i="8" a="1"/>
  <c r="F131" i="8" a="1"/>
  <c r="F122" i="8" a="1"/>
  <c r="F128" i="8" a="1"/>
  <c r="F140" i="8" a="1"/>
  <c r="F134" i="8" a="1"/>
  <c r="F137" i="8" a="1"/>
  <c r="F146" i="8" a="1"/>
  <c r="F143" i="8" a="1"/>
  <c r="F149" i="8" a="1"/>
  <c r="F152" i="8" a="1"/>
  <c r="F155" i="8" a="1"/>
  <c r="F161" i="8" a="1"/>
  <c r="F158" i="8" a="1"/>
  <c r="F1" i="8" a="1"/>
  <c r="F2" i="8" s="1"/>
  <c r="J17" i="5"/>
  <c r="K17" i="5"/>
  <c r="B21" i="11"/>
  <c r="A21" i="13"/>
  <c r="B16" i="11"/>
  <c r="A20" i="13"/>
  <c r="A23" i="13"/>
  <c r="A18" i="13"/>
  <c r="A15" i="13"/>
  <c r="B22" i="11"/>
  <c r="B23" i="11"/>
  <c r="A16" i="13"/>
  <c r="A19" i="13"/>
  <c r="A17" i="13"/>
  <c r="B19" i="11"/>
  <c r="B17" i="11"/>
  <c r="B20" i="11"/>
  <c r="B18" i="11"/>
  <c r="B15" i="11"/>
  <c r="K16" i="5"/>
  <c r="J16" i="5"/>
  <c r="A22" i="13"/>
  <c r="B12" i="11"/>
  <c r="A12" i="13"/>
  <c r="E36" i="6" l="1"/>
  <c r="D36" i="12"/>
  <c r="D28" i="12"/>
  <c r="E28" i="6"/>
  <c r="D25" i="12"/>
  <c r="E25" i="6"/>
  <c r="D26" i="12"/>
  <c r="E26" i="6"/>
  <c r="E38" i="6"/>
  <c r="D39" i="12"/>
  <c r="E39" i="6"/>
  <c r="D35" i="12"/>
  <c r="E33" i="6"/>
  <c r="D34" i="12"/>
  <c r="E34" i="6"/>
  <c r="D31" i="12"/>
  <c r="D32" i="12"/>
  <c r="E32" i="6"/>
  <c r="E24" i="6"/>
  <c r="D29" i="12"/>
  <c r="E29" i="6"/>
  <c r="E22" i="6"/>
  <c r="D23" i="12"/>
  <c r="E23" i="6"/>
  <c r="E18" i="6"/>
  <c r="D19" i="12"/>
  <c r="E19" i="6"/>
  <c r="D42" i="5"/>
  <c r="B42" i="12" s="1"/>
  <c r="B40" i="12"/>
  <c r="D37" i="5"/>
  <c r="B37" i="12" s="1"/>
  <c r="D30" i="5"/>
  <c r="B30" i="12" s="1"/>
  <c r="D27" i="5"/>
  <c r="B27" i="12" s="1"/>
  <c r="D21" i="5"/>
  <c r="B21" i="12" s="1"/>
  <c r="B20" i="13"/>
  <c r="AG20" i="13" s="1" a="1"/>
  <c r="AB16" i="11" a="1"/>
  <c r="N16" i="11" s="1"/>
  <c r="K16" i="11" a="1"/>
  <c r="J16" i="13" s="1"/>
  <c r="AA16" i="11" a="1"/>
  <c r="G16" i="11"/>
  <c r="F16" i="13" s="1"/>
  <c r="C16" i="13"/>
  <c r="O16" i="11" a="1"/>
  <c r="C17" i="13"/>
  <c r="AB17" i="11" a="1"/>
  <c r="N17" i="11" s="1"/>
  <c r="K17" i="11" a="1"/>
  <c r="J17" i="13" s="1"/>
  <c r="G17" i="11"/>
  <c r="F17" i="13" s="1"/>
  <c r="AA17" i="11" a="1"/>
  <c r="O17" i="11" a="1"/>
  <c r="O18" i="11" a="1"/>
  <c r="AB18" i="11" a="1"/>
  <c r="N18" i="11" s="1"/>
  <c r="AA18" i="11" a="1"/>
  <c r="C18" i="13"/>
  <c r="G18" i="11"/>
  <c r="F18" i="13" s="1"/>
  <c r="K18" i="11" a="1"/>
  <c r="J18" i="13" s="1"/>
  <c r="AA21" i="11" a="1"/>
  <c r="G21" i="11"/>
  <c r="F21" i="13" s="1"/>
  <c r="C21" i="13"/>
  <c r="AB21" i="11" a="1"/>
  <c r="N21" i="11" s="1"/>
  <c r="O21" i="11" a="1"/>
  <c r="K21" i="11" a="1"/>
  <c r="J21" i="13" s="1"/>
  <c r="J14" i="8"/>
  <c r="M14" i="8"/>
  <c r="Q14" i="8" s="1"/>
  <c r="O19" i="11" a="1"/>
  <c r="C19" i="13"/>
  <c r="AA19" i="11" a="1"/>
  <c r="AB19" i="11" a="1"/>
  <c r="N19" i="11" s="1"/>
  <c r="G19" i="11"/>
  <c r="F19" i="13" s="1"/>
  <c r="K19" i="11" a="1"/>
  <c r="J19" i="13" s="1"/>
  <c r="B17" i="13"/>
  <c r="AF17" i="13" s="1" a="1"/>
  <c r="B12" i="13"/>
  <c r="AM12" i="13" s="1" a="1"/>
  <c r="C20" i="13"/>
  <c r="K20" i="11" a="1"/>
  <c r="J20" i="13" s="1"/>
  <c r="G20" i="11"/>
  <c r="F20" i="13" s="1"/>
  <c r="O20" i="11" a="1"/>
  <c r="AB20" i="11" a="1"/>
  <c r="N20" i="11" s="1"/>
  <c r="AA20" i="11" a="1"/>
  <c r="B21" i="13"/>
  <c r="AC21" i="13" s="1" a="1"/>
  <c r="B19" i="13"/>
  <c r="AG19" i="13" s="1" a="1"/>
  <c r="B16" i="13"/>
  <c r="AC16" i="13" s="1" a="1"/>
  <c r="C12" i="13"/>
  <c r="O12" i="11" a="1"/>
  <c r="AA12" i="11" a="1"/>
  <c r="AB12" i="11" a="1"/>
  <c r="N12" i="11" s="1"/>
  <c r="K12" i="11" a="1"/>
  <c r="J12" i="13" s="1"/>
  <c r="G12" i="11"/>
  <c r="F12" i="13" s="1"/>
  <c r="C23" i="13"/>
  <c r="AB23" i="11" a="1"/>
  <c r="N23" i="11" s="1"/>
  <c r="K23" i="11" a="1"/>
  <c r="J23" i="13" s="1"/>
  <c r="G23" i="11"/>
  <c r="F23" i="13" s="1"/>
  <c r="O23" i="11" a="1"/>
  <c r="AA23" i="11" a="1"/>
  <c r="J17" i="8"/>
  <c r="M17" i="8"/>
  <c r="P17" i="8" s="1"/>
  <c r="AB22" i="11" a="1"/>
  <c r="N22" i="11" s="1"/>
  <c r="K22" i="11" a="1"/>
  <c r="J22" i="13" s="1"/>
  <c r="AA22" i="11" a="1"/>
  <c r="G22" i="11"/>
  <c r="F22" i="13" s="1"/>
  <c r="O22" i="11" a="1"/>
  <c r="C22" i="13"/>
  <c r="B22" i="13"/>
  <c r="AD22" i="13" s="1" a="1"/>
  <c r="B15" i="13"/>
  <c r="N1" i="8"/>
  <c r="M1" i="8"/>
  <c r="O1" i="8"/>
  <c r="Q1" i="8"/>
  <c r="J1" i="8"/>
  <c r="P1" i="8"/>
  <c r="I1" i="8"/>
  <c r="S1" i="8"/>
  <c r="B18" i="13"/>
  <c r="AG18" i="13" s="1" a="1"/>
  <c r="D16" i="5"/>
  <c r="G15" i="11"/>
  <c r="F15" i="13" s="1"/>
  <c r="C15" i="13"/>
  <c r="K15" i="11" a="1"/>
  <c r="J15" i="13" s="1"/>
  <c r="F10" i="8" a="1"/>
  <c r="B23" i="13"/>
  <c r="AE23" i="13" s="1"/>
  <c r="D17" i="5"/>
  <c r="AD20" i="13" l="1" a="1"/>
  <c r="AE20" i="13"/>
  <c r="AH12" i="13"/>
  <c r="AH18" i="13"/>
  <c r="AH20" i="13"/>
  <c r="AC17" i="13" a="1"/>
  <c r="AC18" i="13" a="1"/>
  <c r="AD17" i="13" a="1"/>
  <c r="AH23" i="13"/>
  <c r="AC23" i="13" a="1"/>
  <c r="AE18" i="13"/>
  <c r="AH22" i="13"/>
  <c r="AH17" i="13"/>
  <c r="AC20" i="13" a="1"/>
  <c r="AE22" i="13"/>
  <c r="AE17" i="13"/>
  <c r="AF20" i="13" a="1"/>
  <c r="AG17" i="13" a="1"/>
  <c r="Q17" i="8"/>
  <c r="AG16" i="13" a="1"/>
  <c r="AD23" i="13" a="1"/>
  <c r="AG23" i="13" a="1"/>
  <c r="AH19" i="13"/>
  <c r="AF23" i="13" a="1"/>
  <c r="AF22" i="13" a="1"/>
  <c r="AF19" i="13" a="1"/>
  <c r="AF18" i="13" a="1"/>
  <c r="AE19" i="13"/>
  <c r="AD18" i="13" a="1"/>
  <c r="AD21" i="13" a="1"/>
  <c r="P22" i="11"/>
  <c r="L22" i="13"/>
  <c r="C22" i="11"/>
  <c r="Z22" i="11"/>
  <c r="AE16" i="13"/>
  <c r="AE21" i="13"/>
  <c r="AD12" i="13" a="1"/>
  <c r="K16" i="13" a="1"/>
  <c r="U16" i="13"/>
  <c r="T16" i="13"/>
  <c r="M16" i="13"/>
  <c r="R16" i="13"/>
  <c r="O16" i="13"/>
  <c r="S16" i="13"/>
  <c r="AH16" i="13"/>
  <c r="AC19" i="13" a="1"/>
  <c r="AH21" i="13"/>
  <c r="AG12" i="13" a="1"/>
  <c r="Z21" i="11"/>
  <c r="C21" i="11"/>
  <c r="L21" i="13"/>
  <c r="P21" i="11"/>
  <c r="C18" i="11"/>
  <c r="L18" i="13"/>
  <c r="Z18" i="11"/>
  <c r="P18" i="11"/>
  <c r="AF16" i="13" a="1"/>
  <c r="AC12" i="13" a="1"/>
  <c r="O12" i="13"/>
  <c r="K12" i="13" a="1"/>
  <c r="R12" i="13"/>
  <c r="S12" i="13"/>
  <c r="M12" i="13"/>
  <c r="U12" i="13"/>
  <c r="T12" i="13"/>
  <c r="AD19" i="13" a="1"/>
  <c r="R19" i="13"/>
  <c r="O19" i="13"/>
  <c r="K19" i="13" a="1"/>
  <c r="T19" i="13"/>
  <c r="S19" i="13"/>
  <c r="M19" i="13"/>
  <c r="U19" i="13"/>
  <c r="O14" i="8"/>
  <c r="C17" i="11"/>
  <c r="P17" i="11"/>
  <c r="L17" i="13"/>
  <c r="Z17" i="11"/>
  <c r="S19" i="8"/>
  <c r="F21" i="8"/>
  <c r="Z20" i="11"/>
  <c r="C20" i="11"/>
  <c r="P20" i="11"/>
  <c r="L20" i="13"/>
  <c r="P19" i="11"/>
  <c r="Z19" i="11"/>
  <c r="L19" i="13"/>
  <c r="C19" i="11"/>
  <c r="C23" i="11"/>
  <c r="Z23" i="11"/>
  <c r="P23" i="11"/>
  <c r="L23" i="13"/>
  <c r="S3" i="8"/>
  <c r="A1" i="8"/>
  <c r="R1" i="8"/>
  <c r="G1" i="8"/>
  <c r="G2" i="8" s="1" a="1"/>
  <c r="H1" i="8" a="1"/>
  <c r="J2" i="8" s="1"/>
  <c r="H2" i="8" a="1"/>
  <c r="AG21" i="13" a="1"/>
  <c r="K20" i="13" a="1"/>
  <c r="U20" i="13"/>
  <c r="T20" i="13"/>
  <c r="S20" i="13"/>
  <c r="R20" i="13"/>
  <c r="O20" i="13"/>
  <c r="M20" i="13"/>
  <c r="A14" i="8"/>
  <c r="S16" i="8"/>
  <c r="B16" i="12"/>
  <c r="B14" i="13"/>
  <c r="D15" i="5"/>
  <c r="AC22" i="13" a="1"/>
  <c r="AG22" i="13" a="1"/>
  <c r="AF21" i="13" a="1"/>
  <c r="AF12" i="13" a="1"/>
  <c r="K18" i="13" a="1"/>
  <c r="U18" i="13"/>
  <c r="O18" i="13"/>
  <c r="M18" i="13"/>
  <c r="S18" i="13"/>
  <c r="R18" i="13"/>
  <c r="T18" i="13"/>
  <c r="R17" i="13"/>
  <c r="O17" i="13"/>
  <c r="U17" i="13"/>
  <c r="T17" i="13"/>
  <c r="S17" i="13"/>
  <c r="M17" i="13"/>
  <c r="K17" i="13" a="1"/>
  <c r="R21" i="13"/>
  <c r="O21" i="13"/>
  <c r="M21" i="13"/>
  <c r="K21" i="13" a="1"/>
  <c r="U21" i="13"/>
  <c r="T21" i="13"/>
  <c r="S21" i="13"/>
  <c r="C12" i="11"/>
  <c r="P12" i="11"/>
  <c r="Z12" i="11"/>
  <c r="L12" i="13"/>
  <c r="B17" i="12"/>
  <c r="AD16" i="13" a="1"/>
  <c r="K15" i="13" a="1"/>
  <c r="K22" i="13" a="1"/>
  <c r="U22" i="13"/>
  <c r="T22" i="13"/>
  <c r="M22" i="13"/>
  <c r="S22" i="13"/>
  <c r="R22" i="13"/>
  <c r="O22" i="13"/>
  <c r="R23" i="13"/>
  <c r="O23" i="13"/>
  <c r="U23" i="13"/>
  <c r="T23" i="13"/>
  <c r="S23" i="13"/>
  <c r="M23" i="13"/>
  <c r="K23" i="13" a="1"/>
  <c r="AE12" i="13"/>
  <c r="P14" i="8"/>
  <c r="P16" i="11"/>
  <c r="L16" i="13"/>
  <c r="C16" i="11"/>
  <c r="Z16" i="11"/>
  <c r="P23" i="13" l="1"/>
  <c r="N23" i="13"/>
  <c r="W1" i="8" a="1"/>
  <c r="AD1" i="8" a="1"/>
  <c r="AC1" i="8" a="1"/>
  <c r="U3" i="8" a="1"/>
  <c r="AE3" i="8" a="1"/>
  <c r="V1" i="8" a="1"/>
  <c r="X3" i="8" a="1"/>
  <c r="V3" i="8" a="1"/>
  <c r="D1" i="8"/>
  <c r="E1" i="8" a="1"/>
  <c r="Z1" i="8" a="1"/>
  <c r="U1" i="8" a="1"/>
  <c r="X1" i="8" a="1"/>
  <c r="AB3" i="8" a="1"/>
  <c r="AB1" i="8" a="1"/>
  <c r="E3" i="8" a="1"/>
  <c r="AD3" i="8" a="1"/>
  <c r="AE1" i="8" a="1"/>
  <c r="Y1" i="8" a="1"/>
  <c r="F3" i="8"/>
  <c r="Z3" i="8" a="1"/>
  <c r="AF1" i="8" a="1"/>
  <c r="AA3" i="8" a="1"/>
  <c r="Y3" i="8" a="1"/>
  <c r="C1" i="8"/>
  <c r="AF3" i="8" a="1"/>
  <c r="W3" i="8" a="1"/>
  <c r="AA1" i="8" a="1"/>
  <c r="AC3" i="8" a="1"/>
  <c r="D20" i="13"/>
  <c r="P12" i="13"/>
  <c r="N12" i="13"/>
  <c r="D18" i="13"/>
  <c r="P17" i="13"/>
  <c r="N17" i="13"/>
  <c r="D17" i="13"/>
  <c r="P19" i="13"/>
  <c r="N19" i="13"/>
  <c r="N22" i="13"/>
  <c r="P22" i="13"/>
  <c r="N16" i="13"/>
  <c r="P16" i="13"/>
  <c r="D22" i="13"/>
  <c r="D19" i="13"/>
  <c r="J20" i="8"/>
  <c r="M20" i="8"/>
  <c r="P21" i="13"/>
  <c r="N21" i="13"/>
  <c r="D23" i="13"/>
  <c r="D21" i="13"/>
  <c r="D16" i="13"/>
  <c r="D12" i="13"/>
  <c r="V12" i="13"/>
  <c r="N18" i="13"/>
  <c r="P18" i="13"/>
  <c r="P20" i="13"/>
  <c r="N20" i="13"/>
  <c r="Q20" i="8" l="1"/>
  <c r="S22" i="8"/>
  <c r="F24" i="8"/>
  <c r="P20" i="8"/>
  <c r="M23" i="8" l="1"/>
  <c r="J23" i="8"/>
  <c r="Q23" i="8" l="1"/>
  <c r="P23" i="8"/>
  <c r="S25" i="8"/>
  <c r="F27" i="8"/>
  <c r="M26" i="8" l="1"/>
  <c r="J26" i="8"/>
  <c r="S28" i="8" l="1"/>
  <c r="F30" i="8"/>
  <c r="Q26" i="8"/>
  <c r="P26" i="8"/>
  <c r="M29" i="8" l="1"/>
  <c r="J29" i="8"/>
  <c r="C17" i="9"/>
  <c r="F17" i="9" s="1"/>
  <c r="C16" i="9"/>
  <c r="F16" i="9" s="1"/>
  <c r="A16" i="9"/>
  <c r="A17" i="9"/>
  <c r="A19" i="9"/>
  <c r="A18" i="9"/>
  <c r="C18" i="9"/>
  <c r="F18" i="9" s="1"/>
  <c r="C23" i="9"/>
  <c r="F23" i="9" s="1"/>
  <c r="C19" i="9"/>
  <c r="F19" i="9" s="1"/>
  <c r="A23" i="9"/>
  <c r="A20" i="9"/>
  <c r="C20" i="9"/>
  <c r="F20" i="9" s="1"/>
  <c r="A22" i="9"/>
  <c r="C22" i="9"/>
  <c r="F22" i="9" s="1"/>
  <c r="A21" i="9"/>
  <c r="C21" i="9"/>
  <c r="F21" i="9" s="1"/>
  <c r="C24" i="9"/>
  <c r="F24" i="9" s="1"/>
  <c r="C25" i="9"/>
  <c r="F25" i="9" s="1"/>
  <c r="A27" i="9"/>
  <c r="A26" i="9"/>
  <c r="C26" i="9"/>
  <c r="F26" i="9" s="1"/>
  <c r="A24" i="9"/>
  <c r="A25" i="9"/>
  <c r="C27" i="9"/>
  <c r="F27" i="9" s="1"/>
  <c r="A30" i="9"/>
  <c r="A28" i="9"/>
  <c r="A31" i="9"/>
  <c r="C28" i="9"/>
  <c r="F28" i="9" s="1"/>
  <c r="C30" i="9"/>
  <c r="F30" i="9" s="1"/>
  <c r="C29" i="9"/>
  <c r="F29" i="9" s="1"/>
  <c r="A29" i="9"/>
  <c r="A33" i="9"/>
  <c r="A32" i="9"/>
  <c r="C32" i="9"/>
  <c r="F32" i="9" s="1"/>
  <c r="C31" i="9"/>
  <c r="F31" i="9" s="1"/>
  <c r="C33" i="9"/>
  <c r="F33" i="9" s="1"/>
  <c r="C36" i="9"/>
  <c r="F36" i="9" s="1"/>
  <c r="A35" i="9"/>
  <c r="C35" i="9"/>
  <c r="F35" i="9" s="1"/>
  <c r="C34" i="9"/>
  <c r="F34" i="9" s="1"/>
  <c r="A34" i="9"/>
  <c r="A36" i="9"/>
  <c r="A37" i="9"/>
  <c r="A40" i="9"/>
  <c r="C40" i="9"/>
  <c r="F40" i="9" s="1"/>
  <c r="C38" i="9"/>
  <c r="F38" i="9" s="1"/>
  <c r="C37" i="9"/>
  <c r="F37" i="9" s="1"/>
  <c r="A39" i="9"/>
  <c r="A38" i="9"/>
  <c r="C39" i="9"/>
  <c r="F39" i="9" s="1"/>
  <c r="A41" i="9"/>
  <c r="C41" i="9"/>
  <c r="F41" i="9" s="1"/>
  <c r="C43" i="9"/>
  <c r="F43" i="9" s="1"/>
  <c r="A42" i="9"/>
  <c r="C45" i="9"/>
  <c r="F45" i="9" s="1"/>
  <c r="C42" i="9"/>
  <c r="F42" i="9" s="1"/>
  <c r="A43" i="9"/>
  <c r="C44" i="9"/>
  <c r="F44" i="9" s="1"/>
  <c r="A47" i="9"/>
  <c r="A45" i="9"/>
  <c r="A44" i="9"/>
  <c r="C47" i="9"/>
  <c r="F47" i="9" s="1"/>
  <c r="C46" i="9"/>
  <c r="F46" i="9" s="1"/>
  <c r="A46" i="9"/>
  <c r="C49" i="9"/>
  <c r="F49" i="9" s="1"/>
  <c r="C48" i="9"/>
  <c r="F48" i="9" s="1"/>
  <c r="A48" i="9"/>
  <c r="A49" i="9"/>
  <c r="C51" i="9"/>
  <c r="F51" i="9" s="1"/>
  <c r="A50" i="9"/>
  <c r="A51" i="9"/>
  <c r="C50" i="9"/>
  <c r="F50" i="9" s="1"/>
  <c r="C54" i="9"/>
  <c r="F54" i="9" s="1"/>
  <c r="A52" i="9"/>
  <c r="C53" i="9"/>
  <c r="F53" i="9" s="1"/>
  <c r="C52" i="9"/>
  <c r="F52" i="9" s="1"/>
  <c r="A53" i="9"/>
  <c r="A54" i="9"/>
  <c r="C16" i="10"/>
  <c r="A16" i="10" s="1"/>
  <c r="C55" i="9"/>
  <c r="F55" i="9" s="1"/>
  <c r="A55" i="9"/>
  <c r="A57" i="9"/>
  <c r="C56" i="9"/>
  <c r="F56" i="9" s="1"/>
  <c r="C18" i="10"/>
  <c r="A18" i="10" s="1"/>
  <c r="A56" i="9"/>
  <c r="C17" i="10"/>
  <c r="A17" i="10" s="1"/>
  <c r="C19" i="10"/>
  <c r="A19" i="10" s="1"/>
  <c r="A58" i="9"/>
  <c r="C20" i="10"/>
  <c r="A20" i="10" s="1"/>
  <c r="C57" i="9"/>
  <c r="F57" i="9" s="1"/>
  <c r="C21" i="10"/>
  <c r="A21" i="10" s="1"/>
  <c r="A59" i="9"/>
  <c r="C59" i="9"/>
  <c r="F59" i="9" s="1"/>
  <c r="C23" i="10"/>
  <c r="A23" i="10" s="1"/>
  <c r="C58" i="9"/>
  <c r="F58" i="9" s="1"/>
  <c r="A61" i="9"/>
  <c r="C60" i="9"/>
  <c r="F60" i="9" s="1"/>
  <c r="C22" i="10"/>
  <c r="A22" i="10" s="1"/>
  <c r="A60" i="9"/>
  <c r="C24" i="10"/>
  <c r="A24" i="10" s="1"/>
  <c r="C61" i="9"/>
  <c r="F61" i="9" s="1"/>
  <c r="A62" i="9"/>
  <c r="C62" i="9"/>
  <c r="F62" i="9" s="1"/>
  <c r="A63" i="9"/>
  <c r="C64" i="9"/>
  <c r="F64" i="9" s="1"/>
  <c r="C63" i="9"/>
  <c r="F63" i="9" s="1"/>
  <c r="C26" i="10"/>
  <c r="A26" i="10" s="1"/>
  <c r="A64" i="9"/>
  <c r="C25" i="10"/>
  <c r="A25" i="10" s="1"/>
  <c r="C28" i="10"/>
  <c r="A28" i="10" s="1"/>
  <c r="C27" i="10"/>
  <c r="A27" i="10" s="1"/>
  <c r="C29" i="10"/>
  <c r="A29" i="10" s="1"/>
  <c r="C30" i="10"/>
  <c r="A30" i="10" s="1"/>
  <c r="C32" i="10"/>
  <c r="A32" i="10" s="1"/>
  <c r="C31" i="10"/>
  <c r="A31" i="10" s="1"/>
  <c r="C33" i="10"/>
  <c r="A33" i="10" s="1"/>
  <c r="C34" i="10"/>
  <c r="A34" i="10" s="1"/>
  <c r="C35" i="10"/>
  <c r="A35" i="10" s="1"/>
  <c r="C36" i="10"/>
  <c r="A36" i="10" s="1"/>
  <c r="C38" i="10"/>
  <c r="A38" i="10" s="1"/>
  <c r="C37" i="10"/>
  <c r="A37" i="10" s="1"/>
  <c r="C39" i="10"/>
  <c r="A39" i="10" s="1"/>
  <c r="C41" i="10"/>
  <c r="A41" i="10" s="1"/>
  <c r="C42" i="10"/>
  <c r="A42" i="10" s="1"/>
  <c r="C40" i="10"/>
  <c r="A40" i="10" s="1"/>
  <c r="C43" i="10"/>
  <c r="A43" i="10" s="1"/>
  <c r="C45" i="10"/>
  <c r="A45" i="10" s="1"/>
  <c r="C44" i="10"/>
  <c r="A44" i="10" s="1"/>
  <c r="C47" i="10"/>
  <c r="A47" i="10" s="1"/>
  <c r="C46" i="10"/>
  <c r="A46" i="10" s="1"/>
  <c r="C48" i="10"/>
  <c r="A48" i="10" s="1"/>
  <c r="C49" i="10"/>
  <c r="A49" i="10" s="1"/>
  <c r="C50" i="10"/>
  <c r="A50" i="10" s="1"/>
  <c r="C51" i="10"/>
  <c r="A51" i="10" s="1"/>
  <c r="C54" i="10"/>
  <c r="A54" i="10" s="1"/>
  <c r="C55" i="10"/>
  <c r="A55" i="10" s="1"/>
  <c r="C53" i="10"/>
  <c r="A53" i="10" s="1"/>
  <c r="C52" i="10"/>
  <c r="A52" i="10" s="1"/>
  <c r="C57" i="10"/>
  <c r="A57" i="10" s="1"/>
  <c r="C56" i="10"/>
  <c r="A56" i="10" s="1"/>
  <c r="C60" i="10"/>
  <c r="A60" i="10" s="1"/>
  <c r="C58" i="10"/>
  <c r="A58" i="10" s="1"/>
  <c r="C59" i="10"/>
  <c r="A59" i="10" s="1"/>
  <c r="C61" i="10"/>
  <c r="A61" i="10" s="1"/>
  <c r="A1" i="9"/>
  <c r="C64" i="10"/>
  <c r="A64" i="10" s="1"/>
  <c r="C62" i="10"/>
  <c r="A62" i="10" s="1"/>
  <c r="C63" i="10"/>
  <c r="A63" i="10" s="1"/>
  <c r="A15" i="9"/>
  <c r="M12" i="6" a="1"/>
  <c r="C1" i="9"/>
  <c r="F1" i="9" s="1"/>
  <c r="C1" i="10"/>
  <c r="A1" i="10" s="1"/>
  <c r="AI15" i="6"/>
  <c r="X15" i="6" s="1"/>
  <c r="X11" i="6" s="1"/>
  <c r="AK15" i="6"/>
  <c r="Z15" i="6" s="1"/>
  <c r="Z11" i="6" s="1"/>
  <c r="AF15" i="6"/>
  <c r="U15" i="6" s="1"/>
  <c r="U11" i="6" s="1"/>
  <c r="AD15" i="6"/>
  <c r="S15" i="6" s="1"/>
  <c r="S11" i="6" s="1"/>
  <c r="AH15" i="6"/>
  <c r="W15" i="6" s="1"/>
  <c r="W11" i="6" s="1"/>
  <c r="AG15" i="6"/>
  <c r="V15" i="6" s="1"/>
  <c r="V11" i="6" s="1"/>
  <c r="AJ15" i="6"/>
  <c r="Y15" i="6" s="1"/>
  <c r="Y11" i="6" s="1"/>
  <c r="AE15" i="6"/>
  <c r="T15" i="6" s="1"/>
  <c r="T11" i="6" s="1"/>
  <c r="AC15" i="6"/>
  <c r="R15" i="6" s="1"/>
  <c r="R11" i="6" s="1"/>
  <c r="D8" i="9" l="1"/>
  <c r="F175" i="8" s="1"/>
  <c r="AH15" i="13"/>
  <c r="O15" i="13" s="1"/>
  <c r="AE15" i="13"/>
  <c r="M15" i="13" s="1"/>
  <c r="AH14" i="13"/>
  <c r="O14" i="13" s="1"/>
  <c r="AE14" i="13"/>
  <c r="M14" i="13" s="1"/>
  <c r="AB15" i="6"/>
  <c r="Q15" i="6" s="1"/>
  <c r="Q11" i="6" s="1"/>
  <c r="S31" i="8"/>
  <c r="F33" i="8"/>
  <c r="P29" i="8"/>
  <c r="Q29" i="8"/>
  <c r="I73" i="10" a="1"/>
  <c r="U73" i="10" a="1"/>
  <c r="M73" i="10" a="1"/>
  <c r="Y73" i="10" a="1"/>
  <c r="AC73" i="10" a="1"/>
  <c r="O73" i="10" a="1"/>
  <c r="S73" i="10" a="1"/>
  <c r="Q73" i="10" a="1"/>
  <c r="W73" i="10" a="1"/>
  <c r="AA73" i="10" a="1"/>
  <c r="AE73" i="10" a="1"/>
  <c r="K73" i="10" a="1"/>
  <c r="J36" i="6" l="1" a="1"/>
  <c r="J41" i="6" a="1"/>
  <c r="J28" i="6" a="1"/>
  <c r="J20" i="6" a="1"/>
  <c r="J25" i="6" a="1"/>
  <c r="J26" i="6" a="1"/>
  <c r="X42" i="5" a="1"/>
  <c r="X40" i="5" a="1"/>
  <c r="X37" i="5" s="1" a="1"/>
  <c r="M28" i="13"/>
  <c r="N15" i="13"/>
  <c r="X30" i="5" a="1"/>
  <c r="L30" i="5" s="1"/>
  <c r="AC30" i="5" s="1" a="1"/>
  <c r="X21" i="5" a="1"/>
  <c r="AM21" i="5" s="1"/>
  <c r="X27" i="5" a="1"/>
  <c r="N14" i="13"/>
  <c r="AA71" i="10"/>
  <c r="O28" i="13"/>
  <c r="D53" i="2" s="1" a="1"/>
  <c r="AE71" i="10"/>
  <c r="K71" i="10"/>
  <c r="W71" i="10"/>
  <c r="Q71" i="10"/>
  <c r="S71" i="10"/>
  <c r="X17" i="5" a="1"/>
  <c r="AC71" i="10"/>
  <c r="M32" i="8"/>
  <c r="J32" i="8"/>
  <c r="Y71" i="10"/>
  <c r="O71" i="10"/>
  <c r="M71" i="10"/>
  <c r="U71" i="10"/>
  <c r="I71" i="10" a="1"/>
  <c r="I74" i="10" l="1"/>
  <c r="U175" i="8"/>
  <c r="AE175" i="8"/>
  <c r="AC175" i="8"/>
  <c r="Z175" i="8"/>
  <c r="AA175" i="8"/>
  <c r="V175" i="8"/>
  <c r="AD175" i="8"/>
  <c r="X175" i="8"/>
  <c r="W175" i="8"/>
  <c r="Y175" i="8"/>
  <c r="AF175" i="8"/>
  <c r="AB175" i="8"/>
  <c r="X16" i="5" a="1"/>
  <c r="L16" i="5" s="1"/>
  <c r="AC16" i="5" s="1" a="1"/>
  <c r="X15" i="5"/>
  <c r="K72" i="10" s="1"/>
  <c r="K75" i="10" s="1"/>
  <c r="I42" i="12"/>
  <c r="AM42" i="5"/>
  <c r="Z42" i="5"/>
  <c r="L42" i="5"/>
  <c r="AC42" i="5" s="1" a="1"/>
  <c r="Z40" i="5"/>
  <c r="L40" i="5"/>
  <c r="AM40" i="5"/>
  <c r="I40" i="12"/>
  <c r="C40" i="12" s="1"/>
  <c r="I40" i="5"/>
  <c r="O15" i="11" a="1"/>
  <c r="S32" i="8" s="1"/>
  <c r="L40" i="12" a="1"/>
  <c r="J40" i="12" a="1"/>
  <c r="S26" i="8"/>
  <c r="Z30" i="5"/>
  <c r="AM30" i="5"/>
  <c r="I30" i="12"/>
  <c r="C30" i="12" s="1"/>
  <c r="Z37" i="5"/>
  <c r="I37" i="12"/>
  <c r="L37" i="5"/>
  <c r="AC37" i="5" s="1" a="1"/>
  <c r="AM37" i="5"/>
  <c r="S29" i="8"/>
  <c r="D54" i="2" a="1"/>
  <c r="N28" i="13"/>
  <c r="E33" i="14" s="1"/>
  <c r="D47" i="2" a="1"/>
  <c r="F33" i="14"/>
  <c r="D51" i="2" a="1"/>
  <c r="D52" i="2" a="1"/>
  <c r="C30" i="6"/>
  <c r="O30" i="5"/>
  <c r="Q32" i="8"/>
  <c r="S20" i="8"/>
  <c r="G20" i="8" s="1"/>
  <c r="Z21" i="5"/>
  <c r="L21" i="5"/>
  <c r="AC21" i="5" s="1" a="1"/>
  <c r="I21" i="12"/>
  <c r="J21" i="12" s="1" a="1"/>
  <c r="I27" i="12"/>
  <c r="AM27" i="5"/>
  <c r="L27" i="5"/>
  <c r="AC27" i="5" s="1" a="1"/>
  <c r="Z27" i="5"/>
  <c r="S23" i="8"/>
  <c r="D48" i="2" a="1"/>
  <c r="AD6" i="13"/>
  <c r="AE6" i="13" s="1"/>
  <c r="P32" i="8"/>
  <c r="I17" i="12"/>
  <c r="AM17" i="5"/>
  <c r="L17" i="5"/>
  <c r="AC17" i="5" s="1" a="1"/>
  <c r="Z17" i="5"/>
  <c r="S17" i="8"/>
  <c r="S34" i="8"/>
  <c r="F36" i="8"/>
  <c r="D46" i="2" l="1"/>
  <c r="I41" i="5"/>
  <c r="O41" i="5" s="1"/>
  <c r="V72" i="9"/>
  <c r="AD72" i="9"/>
  <c r="P72" i="9"/>
  <c r="L72" i="9"/>
  <c r="N72" i="9"/>
  <c r="Z72" i="9"/>
  <c r="J72" i="9"/>
  <c r="T72" i="9"/>
  <c r="R72" i="9"/>
  <c r="X72" i="9"/>
  <c r="AB72" i="9"/>
  <c r="H72" i="9"/>
  <c r="O14" i="11" a="1"/>
  <c r="C14" i="11" s="1"/>
  <c r="Y72" i="10"/>
  <c r="Y75" i="10" s="1"/>
  <c r="M70" i="10"/>
  <c r="Z15" i="5"/>
  <c r="U70" i="10"/>
  <c r="S14" i="8"/>
  <c r="G14" i="8" s="1"/>
  <c r="I70" i="10"/>
  <c r="Y9" i="10" s="1"/>
  <c r="C11" i="10" s="1" a="1"/>
  <c r="W72" i="10"/>
  <c r="W75" i="10" s="1"/>
  <c r="AA70" i="10"/>
  <c r="AM16" i="5"/>
  <c r="M72" i="10"/>
  <c r="M75" i="10" s="1"/>
  <c r="O70" i="10"/>
  <c r="Q70" i="10"/>
  <c r="AE72" i="10"/>
  <c r="AE75" i="10" s="1"/>
  <c r="AM15" i="5"/>
  <c r="AA72" i="10"/>
  <c r="AA75" i="10" s="1"/>
  <c r="I16" i="12"/>
  <c r="C16" i="12" s="1"/>
  <c r="K70" i="10"/>
  <c r="U72" i="10"/>
  <c r="U75" i="10" s="1"/>
  <c r="S72" i="10"/>
  <c r="S75" i="10" s="1"/>
  <c r="Q72" i="10"/>
  <c r="Q75" i="10" s="1"/>
  <c r="I72" i="10"/>
  <c r="AE70" i="10"/>
  <c r="AC72" i="10"/>
  <c r="AC75" i="10" s="1"/>
  <c r="O72" i="10"/>
  <c r="O75" i="10" s="1"/>
  <c r="W70" i="10"/>
  <c r="Y70" i="10"/>
  <c r="Z16" i="5"/>
  <c r="S70" i="10"/>
  <c r="AC70" i="10"/>
  <c r="O42" i="12" a="1"/>
  <c r="AO42" i="12" a="1"/>
  <c r="M42" i="12" a="1"/>
  <c r="AB42" i="5" a="1"/>
  <c r="C42" i="6"/>
  <c r="O42" i="5"/>
  <c r="I32" i="8" s="1"/>
  <c r="A32" i="8" s="1"/>
  <c r="J42" i="12" a="1"/>
  <c r="L42" i="12" a="1"/>
  <c r="C42" i="12"/>
  <c r="O40" i="5"/>
  <c r="D40" i="12" s="1"/>
  <c r="C40" i="6"/>
  <c r="I35" i="8"/>
  <c r="L30" i="12" a="1"/>
  <c r="J30" i="12" a="1"/>
  <c r="G32" i="8"/>
  <c r="K40" i="12"/>
  <c r="M40" i="12" a="1"/>
  <c r="AO40" i="12" a="1"/>
  <c r="AB40" i="5" a="1"/>
  <c r="AB37" i="5" s="1" a="1"/>
  <c r="L15" i="13"/>
  <c r="C15" i="11"/>
  <c r="P15" i="11"/>
  <c r="O40" i="12" a="1"/>
  <c r="G26" i="8"/>
  <c r="D50" i="2"/>
  <c r="J54" i="12" s="1"/>
  <c r="C21" i="6"/>
  <c r="O21" i="5"/>
  <c r="D21" i="12" s="1"/>
  <c r="AO30" i="12" a="1"/>
  <c r="M30" i="12" a="1"/>
  <c r="O30" i="12" a="1"/>
  <c r="G29" i="8"/>
  <c r="C37" i="6"/>
  <c r="O37" i="5"/>
  <c r="L37" i="12" a="1"/>
  <c r="J37" i="12" a="1"/>
  <c r="C37" i="12"/>
  <c r="AB30" i="5" a="1"/>
  <c r="D30" i="12"/>
  <c r="E30" i="6"/>
  <c r="I26" i="8"/>
  <c r="A26" i="8" s="1"/>
  <c r="G23" i="8"/>
  <c r="AO21" i="12" a="1"/>
  <c r="AO27" i="12" a="1"/>
  <c r="M21" i="12" a="1"/>
  <c r="M27" i="12" a="1"/>
  <c r="O21" i="12" a="1"/>
  <c r="O27" i="12" a="1"/>
  <c r="O27" i="5"/>
  <c r="C27" i="6"/>
  <c r="J27" i="12" a="1"/>
  <c r="L27" i="12" a="1"/>
  <c r="C27" i="12"/>
  <c r="AB21" i="5" a="1"/>
  <c r="AB27" i="5" a="1"/>
  <c r="C21" i="12"/>
  <c r="L21" i="12" a="1"/>
  <c r="K21" i="12" s="1"/>
  <c r="O16" i="5"/>
  <c r="C16" i="6"/>
  <c r="C14" i="6"/>
  <c r="AO17" i="12" a="1"/>
  <c r="M17" i="12" a="1"/>
  <c r="O17" i="12" a="1"/>
  <c r="AB17" i="5" a="1"/>
  <c r="G17" i="8"/>
  <c r="C17" i="6"/>
  <c r="O17" i="5"/>
  <c r="C17" i="12"/>
  <c r="J17" i="12" a="1"/>
  <c r="L17" i="12" a="1"/>
  <c r="S35" i="8"/>
  <c r="M35" i="8"/>
  <c r="J35" i="8"/>
  <c r="D41" i="12" l="1"/>
  <c r="E41" i="6"/>
  <c r="AE9" i="10"/>
  <c r="I75" i="10"/>
  <c r="H75" i="10" s="1"/>
  <c r="D1" i="2"/>
  <c r="M16" i="12" a="1"/>
  <c r="L16" i="12" a="1"/>
  <c r="O24" i="11"/>
  <c r="L14" i="13"/>
  <c r="V14" i="13" s="1"/>
  <c r="V15" i="13" s="1"/>
  <c r="V16" i="13" s="1"/>
  <c r="V17" i="13" s="1"/>
  <c r="V18" i="13" s="1"/>
  <c r="V19" i="13" s="1"/>
  <c r="V20" i="13" s="1"/>
  <c r="V21" i="13" s="1"/>
  <c r="V22" i="13" s="1"/>
  <c r="V23" i="13" s="1"/>
  <c r="P14" i="11"/>
  <c r="G11" i="11" s="1"/>
  <c r="J16" i="12" a="1"/>
  <c r="K30" i="12"/>
  <c r="N42" i="12"/>
  <c r="I20" i="8"/>
  <c r="A20" i="8" s="1"/>
  <c r="Y42" i="12"/>
  <c r="X42" i="12" s="1" a="1"/>
  <c r="E40" i="6"/>
  <c r="E21" i="6"/>
  <c r="K42" i="12"/>
  <c r="D42" i="12"/>
  <c r="E42" i="6"/>
  <c r="N40" i="12"/>
  <c r="O37" i="12" a="1"/>
  <c r="M37" i="12" a="1"/>
  <c r="O16" i="12" a="1"/>
  <c r="Y40" i="12"/>
  <c r="W40" i="12" s="1" a="1"/>
  <c r="AO16" i="12" a="1"/>
  <c r="AO37" i="12" a="1"/>
  <c r="AB16" i="5" a="1"/>
  <c r="AB14" i="11" s="1" a="1"/>
  <c r="AB15" i="5"/>
  <c r="N30" i="12"/>
  <c r="S77" i="10"/>
  <c r="D15" i="13"/>
  <c r="P15" i="13"/>
  <c r="AB15" i="11" a="1"/>
  <c r="N15" i="11" s="1"/>
  <c r="AG15" i="13" a="1"/>
  <c r="AD15" i="13" a="1"/>
  <c r="AA15" i="11" a="1"/>
  <c r="AC15" i="13" a="1"/>
  <c r="AF15" i="13" a="1"/>
  <c r="Y30" i="12"/>
  <c r="X30" i="12" s="1" a="1"/>
  <c r="K37" i="12"/>
  <c r="D37" i="12"/>
  <c r="E37" i="6"/>
  <c r="I29" i="8"/>
  <c r="A29" i="8" s="1"/>
  <c r="N21" i="12"/>
  <c r="K27" i="12"/>
  <c r="N27" i="12"/>
  <c r="Y27" i="12"/>
  <c r="X27" i="12" s="1" a="1"/>
  <c r="Y21" i="12"/>
  <c r="W21" i="12" s="1" a="1"/>
  <c r="D27" i="12"/>
  <c r="E27" i="6"/>
  <c r="I23" i="8"/>
  <c r="A23" i="8" s="1"/>
  <c r="K17" i="12"/>
  <c r="N17" i="12"/>
  <c r="Y17" i="12"/>
  <c r="X17" i="12" s="1" a="1"/>
  <c r="Q35" i="8"/>
  <c r="D16" i="12"/>
  <c r="E16" i="6"/>
  <c r="E14" i="6"/>
  <c r="I14" i="8"/>
  <c r="D17" i="12"/>
  <c r="E17" i="6"/>
  <c r="I17" i="8"/>
  <c r="A17" i="8" s="1"/>
  <c r="G35" i="8"/>
  <c r="AG14" i="13" a="1"/>
  <c r="U14" i="13" s="1"/>
  <c r="AD14" i="13" a="1"/>
  <c r="S14" i="13" s="1"/>
  <c r="S37" i="8"/>
  <c r="A35" i="8"/>
  <c r="F39" i="8"/>
  <c r="P35" i="8"/>
  <c r="N16" i="12" l="1"/>
  <c r="AA7" i="11"/>
  <c r="O25" i="11"/>
  <c r="P14" i="13"/>
  <c r="D14" i="13"/>
  <c r="L28" i="13"/>
  <c r="K16" i="12"/>
  <c r="I42" i="5"/>
  <c r="I43" i="5" s="1"/>
  <c r="W42" i="12" a="1"/>
  <c r="V42" i="12" s="1" a="1"/>
  <c r="Y16" i="12"/>
  <c r="W16" i="12" s="1" a="1"/>
  <c r="N37" i="12"/>
  <c r="S15" i="13"/>
  <c r="M27" i="13" s="1"/>
  <c r="Y37" i="12"/>
  <c r="W37" i="12" s="1" a="1"/>
  <c r="R15" i="13"/>
  <c r="U15" i="13"/>
  <c r="AD4" i="13" s="1"/>
  <c r="X40" i="12" a="1"/>
  <c r="U40" i="12"/>
  <c r="V40" i="12" a="1"/>
  <c r="T40" i="12"/>
  <c r="Z15" i="11"/>
  <c r="T15" i="13"/>
  <c r="W30" i="12" a="1"/>
  <c r="X21" i="12" a="1"/>
  <c r="W27" i="12" a="1"/>
  <c r="T27" i="12" s="1"/>
  <c r="U21" i="12"/>
  <c r="V21" i="12" a="1"/>
  <c r="T21" i="12"/>
  <c r="W17" i="12" a="1"/>
  <c r="U17" i="12" s="1"/>
  <c r="N14" i="11"/>
  <c r="N24" i="11" s="1"/>
  <c r="AB24" i="11"/>
  <c r="AB7" i="11" s="1"/>
  <c r="I38" i="8"/>
  <c r="M38" i="8"/>
  <c r="J38" i="8"/>
  <c r="S38" i="8"/>
  <c r="G38" i="8" s="1"/>
  <c r="Z3" i="11" l="1"/>
  <c r="AA3" i="11" s="1" a="1"/>
  <c r="AA20" i="5" s="1" a="1"/>
  <c r="O29" i="13"/>
  <c r="L24" i="13"/>
  <c r="D33" i="14"/>
  <c r="M24" i="13"/>
  <c r="E34" i="14"/>
  <c r="N24" i="13"/>
  <c r="O24" i="13"/>
  <c r="P24" i="13"/>
  <c r="F34" i="14" s="1"/>
  <c r="X16" i="12" a="1"/>
  <c r="O43" i="5"/>
  <c r="T42" i="12"/>
  <c r="U42" i="12"/>
  <c r="X37" i="12" a="1"/>
  <c r="AE4" i="13"/>
  <c r="O27" i="13" s="1"/>
  <c r="V30" i="12" a="1"/>
  <c r="U30" i="12"/>
  <c r="T30" i="12"/>
  <c r="U27" i="12"/>
  <c r="V27" i="12" a="1"/>
  <c r="P38" i="8"/>
  <c r="T37" i="12"/>
  <c r="V37" i="12" a="1"/>
  <c r="U37" i="12"/>
  <c r="T17" i="12"/>
  <c r="V17" i="12" a="1"/>
  <c r="Q38" i="8"/>
  <c r="N25" i="11"/>
  <c r="L27" i="13"/>
  <c r="S40" i="8"/>
  <c r="A38" i="8"/>
  <c r="F42" i="8"/>
  <c r="T16" i="12"/>
  <c r="V16" i="12" a="1"/>
  <c r="U16" i="12"/>
  <c r="AA36" i="5" l="1" a="1"/>
  <c r="AA28" i="5" a="1"/>
  <c r="AA41" i="5" a="1"/>
  <c r="AA25" i="5" a="1"/>
  <c r="AA26" i="5" a="1"/>
  <c r="AA43" i="5" a="1"/>
  <c r="AA39" i="5" a="1"/>
  <c r="AA40" i="5" a="1"/>
  <c r="AA35" i="5" a="1"/>
  <c r="AA38" i="5" a="1"/>
  <c r="AA33" i="5" a="1"/>
  <c r="AA34" i="5" a="1"/>
  <c r="AA31" i="5" a="1"/>
  <c r="AA32" i="5" a="1"/>
  <c r="AA24" i="5" a="1"/>
  <c r="AA29" i="5" a="1"/>
  <c r="AA22" i="5" a="1"/>
  <c r="AA23" i="5" a="1"/>
  <c r="AA18" i="5" a="1"/>
  <c r="AA19" i="5" a="1"/>
  <c r="AD23" i="11"/>
  <c r="AE23" i="11" s="1"/>
  <c r="M23" i="11" s="1"/>
  <c r="L23" i="11" s="1"/>
  <c r="AD18" i="11"/>
  <c r="AD17" i="11"/>
  <c r="AD14" i="11"/>
  <c r="AD20" i="11"/>
  <c r="AD15" i="11"/>
  <c r="AD21" i="11"/>
  <c r="AD16" i="11"/>
  <c r="AD22" i="11"/>
  <c r="AD19" i="11"/>
  <c r="AD12" i="11"/>
  <c r="G10" i="13"/>
  <c r="E43" i="6"/>
  <c r="D43" i="12"/>
  <c r="S41" i="8"/>
  <c r="G41" i="8" s="1"/>
  <c r="M41" i="8"/>
  <c r="J41" i="8"/>
  <c r="I41" i="8"/>
  <c r="F32" i="14"/>
  <c r="N27" i="13"/>
  <c r="D32" i="14"/>
  <c r="AD27" i="13"/>
  <c r="AC27" i="13"/>
  <c r="AA27" i="5" l="1" a="1"/>
  <c r="AA42" i="5" a="1"/>
  <c r="AC14" i="13" a="1"/>
  <c r="R14" i="13" s="1"/>
  <c r="M26" i="13" s="1"/>
  <c r="M25" i="13" s="1"/>
  <c r="AA30" i="5" a="1"/>
  <c r="AA37" i="5" a="1"/>
  <c r="AF14" i="13" s="1" a="1"/>
  <c r="T14" i="13" s="1"/>
  <c r="AD3" i="13" s="1"/>
  <c r="AD2" i="13" s="1"/>
  <c r="AA21" i="5" a="1"/>
  <c r="AA16" i="5" a="1"/>
  <c r="AA14" i="11" s="1" a="1"/>
  <c r="AA17" i="5" a="1"/>
  <c r="AA15" i="5"/>
  <c r="AE12" i="11"/>
  <c r="M12" i="11" s="1"/>
  <c r="L12" i="11" s="1"/>
  <c r="AE20" i="11"/>
  <c r="M20" i="11" s="1"/>
  <c r="L20" i="11" s="1"/>
  <c r="AE22" i="11"/>
  <c r="M22" i="11" s="1"/>
  <c r="L22" i="11" s="1"/>
  <c r="AE21" i="11"/>
  <c r="M21" i="11" s="1"/>
  <c r="L21" i="11" s="1"/>
  <c r="AE15" i="11"/>
  <c r="M15" i="11" s="1"/>
  <c r="L15" i="11" s="1"/>
  <c r="AE19" i="11"/>
  <c r="M19" i="11" s="1"/>
  <c r="L19" i="11" s="1"/>
  <c r="AE18" i="11"/>
  <c r="M18" i="11" s="1"/>
  <c r="L18" i="11" s="1"/>
  <c r="AE17" i="11"/>
  <c r="M17" i="11" s="1"/>
  <c r="L17" i="11" s="1"/>
  <c r="AE16" i="11"/>
  <c r="M16" i="11" s="1"/>
  <c r="L16" i="11" s="1"/>
  <c r="P41" i="8"/>
  <c r="E32" i="14"/>
  <c r="S43" i="8"/>
  <c r="A41" i="8"/>
  <c r="F45" i="8"/>
  <c r="Q41" i="8"/>
  <c r="Z14" i="11" l="1"/>
  <c r="Z24" i="11" s="1"/>
  <c r="AE14" i="11" s="1"/>
  <c r="M14" i="11" s="1"/>
  <c r="AA24" i="11"/>
  <c r="AE3" i="13"/>
  <c r="O26" i="13" s="1"/>
  <c r="J44" i="8"/>
  <c r="I44" i="8"/>
  <c r="M44" i="8"/>
  <c r="S44" i="8"/>
  <c r="L14" i="11" l="1"/>
  <c r="L24" i="11" s="1"/>
  <c r="M24" i="11"/>
  <c r="M10" i="11" s="1"/>
  <c r="N10" i="13" s="1"/>
  <c r="AE2" i="13"/>
  <c r="Q44" i="8"/>
  <c r="P44" i="8"/>
  <c r="F31" i="14"/>
  <c r="N26" i="13"/>
  <c r="E31" i="14" s="1"/>
  <c r="O25" i="13"/>
  <c r="A44" i="8"/>
  <c r="S46" i="8"/>
  <c r="F48" i="8"/>
  <c r="G44" i="8"/>
  <c r="L26" i="13" l="1"/>
  <c r="D31" i="14" s="1"/>
  <c r="M25" i="11"/>
  <c r="G9" i="11" s="1"/>
  <c r="L25" i="13"/>
  <c r="D30" i="14" s="1"/>
  <c r="L25" i="11"/>
  <c r="L10" i="11"/>
  <c r="M10" i="13" s="1"/>
  <c r="N25" i="13"/>
  <c r="E30" i="14" s="1"/>
  <c r="F30" i="14"/>
  <c r="M47" i="8"/>
  <c r="Q47" i="8" s="1"/>
  <c r="S47" i="8"/>
  <c r="G47" i="8" s="1"/>
  <c r="I47" i="8"/>
  <c r="J47" i="8"/>
  <c r="AC26" i="13" l="1"/>
  <c r="AD26" i="13"/>
  <c r="P47" i="8"/>
  <c r="S49" i="8"/>
  <c r="A47" i="8"/>
  <c r="F51" i="8"/>
  <c r="S50" i="8" l="1"/>
  <c r="G50" i="8" s="1"/>
  <c r="I50" i="8"/>
  <c r="M50" i="8"/>
  <c r="P50" i="8" s="1"/>
  <c r="J50" i="8"/>
  <c r="O50" i="8" l="1"/>
  <c r="N26" i="8"/>
  <c r="N32" i="8"/>
  <c r="N41" i="8"/>
  <c r="N14" i="8"/>
  <c r="R14" i="8" s="1"/>
  <c r="N38" i="8"/>
  <c r="N35" i="8"/>
  <c r="N17" i="8"/>
  <c r="N23" i="8"/>
  <c r="N20" i="8"/>
  <c r="N29" i="8"/>
  <c r="N44" i="8"/>
  <c r="N47" i="8"/>
  <c r="Q50" i="8"/>
  <c r="A50" i="8"/>
  <c r="S52" i="8"/>
  <c r="F54" i="8"/>
  <c r="H51" i="8" a="1"/>
  <c r="H50" i="8" a="1"/>
  <c r="J51" i="8" s="1"/>
  <c r="H14" i="8" l="1" a="1"/>
  <c r="J15" i="8" s="1"/>
  <c r="H15" i="8" a="1"/>
  <c r="F16" i="8"/>
  <c r="D14" i="8"/>
  <c r="C14" i="8"/>
  <c r="M53" i="8"/>
  <c r="J53" i="8"/>
  <c r="I53" i="8"/>
  <c r="S53" i="8"/>
  <c r="P53" i="8" l="1"/>
  <c r="O53" i="8"/>
  <c r="N50" i="8"/>
  <c r="R50" i="8" s="1"/>
  <c r="AB52" i="8" s="1" a="1"/>
  <c r="AB50" i="8" s="1" a="1"/>
  <c r="Q53" i="8"/>
  <c r="H53" i="8" a="1"/>
  <c r="J54" i="8" s="1"/>
  <c r="H54" i="8" a="1"/>
  <c r="G53" i="8"/>
  <c r="S55" i="8"/>
  <c r="A53" i="8"/>
  <c r="F57" i="8"/>
  <c r="Y52" i="8" l="1" a="1"/>
  <c r="Y50" i="8" s="1" a="1"/>
  <c r="AC52" i="8" a="1"/>
  <c r="AC50" i="8" s="1" a="1"/>
  <c r="U52" i="8" a="1"/>
  <c r="U50" i="8" s="1" a="1"/>
  <c r="E52" i="8" a="1"/>
  <c r="E50" i="8" s="1" a="1"/>
  <c r="AA52" i="8" a="1"/>
  <c r="AA50" i="8" s="1" a="1"/>
  <c r="Z52" i="8" a="1"/>
  <c r="Z50" i="8" s="1" a="1"/>
  <c r="AF52" i="8" a="1"/>
  <c r="AF50" i="8" s="1" a="1"/>
  <c r="X52" i="8" a="1"/>
  <c r="X50" i="8" s="1" a="1"/>
  <c r="W52" i="8" a="1"/>
  <c r="W50" i="8" s="1" a="1"/>
  <c r="V52" i="8" a="1"/>
  <c r="V50" i="8" s="1" a="1"/>
  <c r="D50" i="8"/>
  <c r="F52" i="8"/>
  <c r="AD52" i="8" a="1"/>
  <c r="AD50" i="8" s="1" a="1"/>
  <c r="C50" i="8"/>
  <c r="AE52" i="8" a="1"/>
  <c r="AE50" i="8" s="1" a="1"/>
  <c r="S56" i="8"/>
  <c r="G56" i="8" s="1"/>
  <c r="I56" i="8"/>
  <c r="M56" i="8"/>
  <c r="J56" i="8"/>
  <c r="N53" i="8" l="1"/>
  <c r="R53" i="8" s="1"/>
  <c r="AD55" i="8" s="1" a="1"/>
  <c r="AD53" i="8" s="1" a="1"/>
  <c r="P56" i="8"/>
  <c r="O56" i="8"/>
  <c r="Q56" i="8"/>
  <c r="S58" i="8"/>
  <c r="A56" i="8"/>
  <c r="F60" i="8"/>
  <c r="H57" i="8" a="1"/>
  <c r="H56" i="8" a="1"/>
  <c r="J57" i="8" s="1"/>
  <c r="W55" i="8" l="1" a="1"/>
  <c r="W53" i="8" s="1" a="1"/>
  <c r="AA55" i="8" a="1"/>
  <c r="AA53" i="8" s="1" a="1"/>
  <c r="F55" i="8"/>
  <c r="Y55" i="8" a="1"/>
  <c r="Y53" i="8" s="1" a="1"/>
  <c r="Z55" i="8" a="1"/>
  <c r="Z53" i="8" s="1" a="1"/>
  <c r="AF55" i="8" a="1"/>
  <c r="AF53" i="8" s="1" a="1"/>
  <c r="C53" i="8"/>
  <c r="AC55" i="8" a="1"/>
  <c r="AC53" i="8" s="1" a="1"/>
  <c r="E55" i="8" a="1"/>
  <c r="E53" i="8" s="1" a="1"/>
  <c r="D53" i="8"/>
  <c r="AE55" i="8" a="1"/>
  <c r="AE53" i="8" s="1" a="1"/>
  <c r="V55" i="8" a="1"/>
  <c r="V53" i="8" s="1" a="1"/>
  <c r="X55" i="8" a="1"/>
  <c r="X53" i="8" s="1" a="1"/>
  <c r="U55" i="8" a="1"/>
  <c r="U53" i="8" s="1" a="1"/>
  <c r="AB55" i="8" a="1"/>
  <c r="AB53" i="8" s="1" a="1"/>
  <c r="M59" i="8"/>
  <c r="N56" i="8" s="1"/>
  <c r="R56" i="8" s="1"/>
  <c r="D56" i="8" s="1"/>
  <c r="S59" i="8"/>
  <c r="J59" i="8"/>
  <c r="I59" i="8"/>
  <c r="O59" i="8" l="1"/>
  <c r="Q59" i="8"/>
  <c r="P59" i="8"/>
  <c r="AE58" i="8" a="1"/>
  <c r="AE56" i="8" s="1" a="1"/>
  <c r="F58" i="8"/>
  <c r="V58" i="8" a="1"/>
  <c r="V56" i="8" s="1" a="1"/>
  <c r="C56" i="8"/>
  <c r="AA58" i="8" a="1"/>
  <c r="AA56" i="8" s="1" a="1"/>
  <c r="U58" i="8" a="1"/>
  <c r="U56" i="8" s="1" a="1"/>
  <c r="E58" i="8" a="1"/>
  <c r="E56" i="8" s="1" a="1"/>
  <c r="Z58" i="8" a="1"/>
  <c r="Z56" i="8" s="1" a="1"/>
  <c r="Y58" i="8" a="1"/>
  <c r="Y56" i="8" s="1" a="1"/>
  <c r="G59" i="8"/>
  <c r="AC58" i="8" a="1"/>
  <c r="AC56" i="8" s="1" a="1"/>
  <c r="X58" i="8" a="1"/>
  <c r="X56" i="8" s="1" a="1"/>
  <c r="W58" i="8" a="1"/>
  <c r="W56" i="8" s="1" a="1"/>
  <c r="AD58" i="8" a="1"/>
  <c r="AD56" i="8" s="1" a="1"/>
  <c r="H59" i="8" a="1"/>
  <c r="J60" i="8" s="1"/>
  <c r="H60" i="8" a="1"/>
  <c r="AF58" i="8" a="1"/>
  <c r="AF56" i="8" s="1" a="1"/>
  <c r="AB58" i="8" a="1"/>
  <c r="AB56" i="8" s="1" a="1"/>
  <c r="A59" i="8"/>
  <c r="S61" i="8"/>
  <c r="F63" i="8"/>
  <c r="S62" i="8" l="1"/>
  <c r="M62" i="8"/>
  <c r="J62" i="8"/>
  <c r="I62" i="8"/>
  <c r="N59" i="8" l="1"/>
  <c r="R59" i="8" s="1"/>
  <c r="P62" i="8"/>
  <c r="Q62" i="8"/>
  <c r="O62" i="8"/>
  <c r="G62" i="8"/>
  <c r="S64" i="8"/>
  <c r="A62" i="8"/>
  <c r="F66" i="8"/>
  <c r="H62" i="8" a="1"/>
  <c r="J63" i="8" s="1"/>
  <c r="H63" i="8" a="1"/>
  <c r="C59" i="8" l="1"/>
  <c r="AA61" i="8" a="1"/>
  <c r="AA59" i="8" s="1" a="1"/>
  <c r="W61" i="8" a="1"/>
  <c r="W59" i="8" s="1" a="1"/>
  <c r="X61" i="8" a="1"/>
  <c r="X59" i="8" s="1" a="1"/>
  <c r="AD61" i="8" a="1"/>
  <c r="AD59" i="8" s="1" a="1"/>
  <c r="AE61" i="8" a="1"/>
  <c r="AE59" i="8" s="1" a="1"/>
  <c r="Z61" i="8" a="1"/>
  <c r="Z59" i="8" s="1" a="1"/>
  <c r="E61" i="8" a="1"/>
  <c r="E59" i="8" s="1" a="1"/>
  <c r="AB61" i="8" a="1"/>
  <c r="AB59" i="8" s="1" a="1"/>
  <c r="AC61" i="8" a="1"/>
  <c r="AC59" i="8" s="1" a="1"/>
  <c r="F61" i="8"/>
  <c r="U61" i="8" a="1"/>
  <c r="U59" i="8" s="1" a="1"/>
  <c r="D59" i="8"/>
  <c r="AF61" i="8" a="1"/>
  <c r="AF59" i="8" s="1" a="1"/>
  <c r="Y61" i="8" a="1"/>
  <c r="Y59" i="8" s="1" a="1"/>
  <c r="V61" i="8" a="1"/>
  <c r="V59" i="8" s="1" a="1"/>
  <c r="M65" i="8"/>
  <c r="N62" i="8" s="1"/>
  <c r="R62" i="8" s="1"/>
  <c r="D62" i="8" s="1"/>
  <c r="I65" i="8"/>
  <c r="S65" i="8"/>
  <c r="G65" i="8" s="1"/>
  <c r="J65" i="8"/>
  <c r="O65" i="8" l="1"/>
  <c r="P65" i="8"/>
  <c r="Q65" i="8"/>
  <c r="C62" i="8"/>
  <c r="F64" i="8"/>
  <c r="AB64" i="8" a="1"/>
  <c r="AB62" i="8" s="1" a="1"/>
  <c r="AD64" i="8" a="1"/>
  <c r="AD62" i="8" s="1" a="1"/>
  <c r="V64" i="8" a="1"/>
  <c r="V62" i="8" s="1" a="1"/>
  <c r="AA64" i="8" a="1"/>
  <c r="AA62" i="8" s="1" a="1"/>
  <c r="Z64" i="8" a="1"/>
  <c r="Z62" i="8" s="1" a="1"/>
  <c r="Y64" i="8" a="1"/>
  <c r="Y62" i="8" s="1" a="1"/>
  <c r="W64" i="8" a="1"/>
  <c r="W62" i="8" s="1" a="1"/>
  <c r="AF64" i="8" a="1"/>
  <c r="AF62" i="8" s="1" a="1"/>
  <c r="X64" i="8" a="1"/>
  <c r="X62" i="8" s="1" a="1"/>
  <c r="AE64" i="8" a="1"/>
  <c r="AE62" i="8" s="1" a="1"/>
  <c r="H65" i="8" a="1"/>
  <c r="J66" i="8" s="1"/>
  <c r="H66" i="8" a="1"/>
  <c r="E64" i="8" a="1"/>
  <c r="E62" i="8" s="1" a="1"/>
  <c r="U64" i="8" a="1"/>
  <c r="U62" i="8" s="1" a="1"/>
  <c r="AC64" i="8" a="1"/>
  <c r="AC62" i="8" s="1" a="1"/>
  <c r="A65" i="8"/>
  <c r="S67" i="8"/>
  <c r="F69" i="8"/>
  <c r="S68" i="8" l="1"/>
  <c r="J68" i="8"/>
  <c r="I68" i="8"/>
  <c r="M68" i="8"/>
  <c r="N65" i="8" s="1"/>
  <c r="R65" i="8" s="1"/>
  <c r="D65" i="8" s="1"/>
  <c r="P68" i="8" l="1"/>
  <c r="O68" i="8"/>
  <c r="Q68" i="8"/>
  <c r="C65" i="8"/>
  <c r="F67" i="8"/>
  <c r="E67" i="8" a="1"/>
  <c r="E65" i="8" s="1" a="1"/>
  <c r="V67" i="8" a="1"/>
  <c r="V65" i="8" s="1" a="1"/>
  <c r="AB67" i="8" a="1"/>
  <c r="AB65" i="8" s="1" a="1"/>
  <c r="AC67" i="8" a="1"/>
  <c r="AC65" i="8" s="1" a="1"/>
  <c r="X67" i="8" a="1"/>
  <c r="X65" i="8" s="1" a="1"/>
  <c r="Y67" i="8" a="1"/>
  <c r="Y65" i="8" s="1" a="1"/>
  <c r="AF67" i="8" a="1"/>
  <c r="AF65" i="8" s="1" a="1"/>
  <c r="Z67" i="8" a="1"/>
  <c r="Z65" i="8" s="1" a="1"/>
  <c r="H69" i="8" a="1"/>
  <c r="H68" i="8" a="1"/>
  <c r="J69" i="8" s="1"/>
  <c r="AD67" i="8" a="1"/>
  <c r="AD65" i="8" s="1" a="1"/>
  <c r="AA67" i="8" a="1"/>
  <c r="AA65" i="8" s="1" a="1"/>
  <c r="AE67" i="8" a="1"/>
  <c r="AE65" i="8" s="1" a="1"/>
  <c r="G68" i="8"/>
  <c r="A68" i="8"/>
  <c r="S70" i="8"/>
  <c r="F72" i="8"/>
  <c r="W67" i="8" a="1"/>
  <c r="W65" i="8" s="1" a="1"/>
  <c r="U67" i="8" a="1"/>
  <c r="U65" i="8" s="1" a="1"/>
  <c r="M71" i="8" l="1"/>
  <c r="S71" i="8"/>
  <c r="G71" i="8" s="1"/>
  <c r="J71" i="8"/>
  <c r="I71" i="8"/>
  <c r="N68" i="8" l="1"/>
  <c r="R68" i="8" s="1"/>
  <c r="P71" i="8"/>
  <c r="Q71" i="8"/>
  <c r="O71" i="8"/>
  <c r="H71" i="8" a="1"/>
  <c r="J72" i="8" s="1"/>
  <c r="H72" i="8" a="1"/>
  <c r="S73" i="8"/>
  <c r="A71" i="8"/>
  <c r="F75" i="8"/>
  <c r="C68" i="8" l="1"/>
  <c r="AF70" i="8" a="1"/>
  <c r="AF68" i="8" s="1" a="1"/>
  <c r="F70" i="8"/>
  <c r="AC70" i="8" a="1"/>
  <c r="AC68" i="8" s="1" a="1"/>
  <c r="AD70" i="8" a="1"/>
  <c r="AD68" i="8" s="1" a="1"/>
  <c r="V70" i="8" a="1"/>
  <c r="V68" i="8" s="1" a="1"/>
  <c r="D68" i="8"/>
  <c r="Z70" i="8" a="1"/>
  <c r="Z68" i="8" s="1" a="1"/>
  <c r="Y70" i="8" a="1"/>
  <c r="Y68" i="8" s="1" a="1"/>
  <c r="W70" i="8" a="1"/>
  <c r="W68" i="8" s="1" a="1"/>
  <c r="E70" i="8" a="1"/>
  <c r="E68" i="8" s="1" a="1"/>
  <c r="AA70" i="8" a="1"/>
  <c r="AA68" i="8" s="1" a="1"/>
  <c r="X70" i="8" a="1"/>
  <c r="X68" i="8" s="1" a="1"/>
  <c r="AE70" i="8" a="1"/>
  <c r="AE68" i="8" s="1" a="1"/>
  <c r="AB70" i="8" a="1"/>
  <c r="AB68" i="8" s="1" a="1"/>
  <c r="U70" i="8" a="1"/>
  <c r="U68" i="8" s="1" a="1"/>
  <c r="S74" i="8"/>
  <c r="J74" i="8"/>
  <c r="I74" i="8"/>
  <c r="M74" i="8"/>
  <c r="N71" i="8" s="1"/>
  <c r="R71" i="8" s="1"/>
  <c r="F73" i="8" s="1"/>
  <c r="Q74" i="8" l="1"/>
  <c r="P74" i="8"/>
  <c r="O74" i="8"/>
  <c r="U73" i="8" a="1"/>
  <c r="U71" i="8" s="1" a="1"/>
  <c r="C71" i="8"/>
  <c r="D71" i="8"/>
  <c r="W73" i="8" a="1"/>
  <c r="W71" i="8" s="1" a="1"/>
  <c r="G74" i="8"/>
  <c r="Z73" i="8" a="1"/>
  <c r="Z71" i="8" s="1" a="1"/>
  <c r="AC73" i="8" a="1"/>
  <c r="AC71" i="8" s="1" a="1"/>
  <c r="E73" i="8" a="1"/>
  <c r="E71" i="8" s="1" a="1"/>
  <c r="AA73" i="8" a="1"/>
  <c r="AA71" i="8" s="1" a="1"/>
  <c r="AB73" i="8" a="1"/>
  <c r="AB71" i="8" s="1" a="1"/>
  <c r="S76" i="8"/>
  <c r="A74" i="8"/>
  <c r="F78" i="8"/>
  <c r="V73" i="8" a="1"/>
  <c r="V71" i="8" s="1" a="1"/>
  <c r="H74" i="8" a="1"/>
  <c r="J75" i="8" s="1"/>
  <c r="H75" i="8" a="1"/>
  <c r="AF73" i="8" a="1"/>
  <c r="AF71" i="8" s="1" a="1"/>
  <c r="Y73" i="8" a="1"/>
  <c r="Y71" i="8" s="1" a="1"/>
  <c r="AE73" i="8" a="1"/>
  <c r="AE71" i="8" s="1" a="1"/>
  <c r="X73" i="8" a="1"/>
  <c r="X71" i="8" s="1" a="1"/>
  <c r="AD73" i="8" a="1"/>
  <c r="AD71" i="8" s="1" a="1"/>
  <c r="M77" i="8" l="1"/>
  <c r="N74" i="8" s="1"/>
  <c r="R74" i="8" s="1"/>
  <c r="J77" i="8"/>
  <c r="P77" i="8"/>
  <c r="S77" i="8"/>
  <c r="O77" i="8"/>
  <c r="N77" i="8"/>
  <c r="Q77" i="8"/>
  <c r="I77" i="8"/>
  <c r="AA76" i="8" l="1" a="1"/>
  <c r="AA74" i="8" s="1" a="1"/>
  <c r="C74" i="8"/>
  <c r="F76" i="8"/>
  <c r="U76" i="8" a="1"/>
  <c r="U74" i="8" s="1" a="1"/>
  <c r="D74" i="8"/>
  <c r="W76" i="8" a="1"/>
  <c r="W74" i="8" s="1" a="1"/>
  <c r="V76" i="8" a="1"/>
  <c r="V74" i="8" s="1" a="1"/>
  <c r="X76" i="8" a="1"/>
  <c r="X74" i="8" s="1" a="1"/>
  <c r="AB76" i="8" a="1"/>
  <c r="AB74" i="8" s="1" a="1"/>
  <c r="Z76" i="8" a="1"/>
  <c r="Z74" i="8" s="1" a="1"/>
  <c r="G77" i="8"/>
  <c r="Y76" i="8" a="1"/>
  <c r="Y74" i="8" s="1" a="1"/>
  <c r="AD76" i="8" a="1"/>
  <c r="AD74" i="8" s="1" a="1"/>
  <c r="AE76" i="8" a="1"/>
  <c r="AE74" i="8" s="1" a="1"/>
  <c r="H77" i="8" a="1"/>
  <c r="J78" i="8" s="1"/>
  <c r="H78" i="8" a="1"/>
  <c r="AC76" i="8" a="1"/>
  <c r="AC74" i="8" s="1" a="1"/>
  <c r="E76" i="8" a="1"/>
  <c r="E74" i="8" s="1" a="1"/>
  <c r="AF76" i="8" a="1"/>
  <c r="AF74" i="8" s="1" a="1"/>
  <c r="A77" i="8"/>
  <c r="R77" i="8"/>
  <c r="S79" i="8"/>
  <c r="F81" i="8"/>
  <c r="S80" i="8" l="1"/>
  <c r="X79" i="8" s="1" a="1"/>
  <c r="X77" i="8" s="1" a="1"/>
  <c r="P80" i="8"/>
  <c r="O80" i="8"/>
  <c r="J80" i="8"/>
  <c r="I80" i="8"/>
  <c r="N80" i="8"/>
  <c r="M80" i="8"/>
  <c r="Q80" i="8"/>
  <c r="F79" i="8"/>
  <c r="D77" i="8"/>
  <c r="C77" i="8"/>
  <c r="AB79" i="8" l="1" a="1"/>
  <c r="AB77" i="8" s="1" a="1"/>
  <c r="AE79" i="8" a="1"/>
  <c r="AE77" i="8" s="1" a="1"/>
  <c r="G80" i="8"/>
  <c r="W79" i="8" a="1"/>
  <c r="W77" i="8" s="1" a="1"/>
  <c r="E79" i="8" a="1"/>
  <c r="E77" i="8" s="1" a="1"/>
  <c r="AF79" i="8" a="1"/>
  <c r="AF77" i="8" s="1" a="1"/>
  <c r="AD79" i="8" a="1"/>
  <c r="AD77" i="8" s="1" a="1"/>
  <c r="AC79" i="8" a="1"/>
  <c r="AC77" i="8" s="1" a="1"/>
  <c r="V79" i="8" a="1"/>
  <c r="V77" i="8" s="1" a="1"/>
  <c r="AA79" i="8" a="1"/>
  <c r="AA77" i="8" s="1" a="1"/>
  <c r="U79" i="8" a="1"/>
  <c r="U77" i="8" s="1" a="1"/>
  <c r="Y79" i="8" a="1"/>
  <c r="Y77" i="8" s="1" a="1"/>
  <c r="Z79" i="8" a="1"/>
  <c r="Z77" i="8" s="1" a="1"/>
  <c r="R80" i="8"/>
  <c r="S82" i="8"/>
  <c r="A80" i="8"/>
  <c r="F84" i="8"/>
  <c r="H81" i="8" a="1"/>
  <c r="H80" i="8" a="1"/>
  <c r="J81" i="8" s="1"/>
  <c r="M83" i="8" l="1"/>
  <c r="J83" i="8"/>
  <c r="P83" i="8"/>
  <c r="N83" i="8"/>
  <c r="Q83" i="8"/>
  <c r="I83" i="8"/>
  <c r="S83" i="8"/>
  <c r="O83" i="8"/>
  <c r="F82" i="8"/>
  <c r="D80" i="8"/>
  <c r="C80" i="8"/>
  <c r="Z82" i="8" l="1" a="1"/>
  <c r="Z80" i="8" s="1" a="1"/>
  <c r="AF82" i="8" a="1"/>
  <c r="AF80" i="8" s="1" a="1"/>
  <c r="X82" i="8" a="1"/>
  <c r="X80" i="8" s="1" a="1"/>
  <c r="AD82" i="8" a="1"/>
  <c r="AD80" i="8" s="1" a="1"/>
  <c r="E82" i="8" a="1"/>
  <c r="E80" i="8" s="1" a="1"/>
  <c r="U82" i="8" a="1"/>
  <c r="U80" i="8" s="1" a="1"/>
  <c r="AA82" i="8" a="1"/>
  <c r="AA80" i="8" s="1" a="1"/>
  <c r="AC82" i="8" a="1"/>
  <c r="AC80" i="8" s="1" a="1"/>
  <c r="AE82" i="8" a="1"/>
  <c r="AE80" i="8" s="1" a="1"/>
  <c r="W82" i="8" a="1"/>
  <c r="W80" i="8" s="1" a="1"/>
  <c r="G83" i="8"/>
  <c r="H83" i="8" a="1"/>
  <c r="J84" i="8" s="1"/>
  <c r="H84" i="8" a="1"/>
  <c r="V82" i="8" a="1"/>
  <c r="V80" i="8" s="1" a="1"/>
  <c r="Y82" i="8" a="1"/>
  <c r="Y80" i="8" s="1" a="1"/>
  <c r="AB82" i="8" a="1"/>
  <c r="AB80" i="8" s="1" a="1"/>
  <c r="A83" i="8"/>
  <c r="S85" i="8"/>
  <c r="R83" i="8"/>
  <c r="F87" i="8"/>
  <c r="I86" i="8" l="1"/>
  <c r="S86" i="8"/>
  <c r="N86" i="8"/>
  <c r="J86" i="8"/>
  <c r="P86" i="8"/>
  <c r="O86" i="8"/>
  <c r="Q86" i="8"/>
  <c r="M86" i="8"/>
  <c r="C83" i="8"/>
  <c r="F85" i="8"/>
  <c r="D83" i="8"/>
  <c r="AB85" i="8" l="1" a="1"/>
  <c r="AB83" i="8" s="1" a="1"/>
  <c r="U85" i="8" a="1"/>
  <c r="U83" i="8" s="1" a="1"/>
  <c r="E85" i="8" a="1"/>
  <c r="E83" i="8" s="1" a="1"/>
  <c r="AD85" i="8" a="1"/>
  <c r="AD83" i="8" s="1" a="1"/>
  <c r="W85" i="8" a="1"/>
  <c r="W83" i="8" s="1" a="1"/>
  <c r="AE85" i="8" a="1"/>
  <c r="AE83" i="8" s="1" a="1"/>
  <c r="Y85" i="8" a="1"/>
  <c r="Y83" i="8" s="1" a="1"/>
  <c r="V85" i="8" a="1"/>
  <c r="V83" i="8" s="1" a="1"/>
  <c r="Z85" i="8" a="1"/>
  <c r="Z83" i="8" s="1" a="1"/>
  <c r="AC85" i="8" a="1"/>
  <c r="AC83" i="8" s="1" a="1"/>
  <c r="AA85" i="8" a="1"/>
  <c r="AA83" i="8" s="1" a="1"/>
  <c r="R86" i="8"/>
  <c r="S88" i="8"/>
  <c r="A86" i="8"/>
  <c r="F90" i="8"/>
  <c r="H87" i="8" a="1"/>
  <c r="H86" i="8" a="1"/>
  <c r="J87" i="8" s="1"/>
  <c r="X85" i="8" a="1"/>
  <c r="X83" i="8" s="1" a="1"/>
  <c r="AF85" i="8" a="1"/>
  <c r="AF83" i="8" s="1" a="1"/>
  <c r="G86" i="8"/>
  <c r="N89" i="8" l="1"/>
  <c r="P89" i="8"/>
  <c r="O89" i="8"/>
  <c r="J89" i="8"/>
  <c r="I89" i="8"/>
  <c r="S89" i="8"/>
  <c r="Q89" i="8"/>
  <c r="M89" i="8"/>
  <c r="F88" i="8"/>
  <c r="D86" i="8"/>
  <c r="C86" i="8"/>
  <c r="X88" i="8" l="1" a="1"/>
  <c r="X86" i="8" s="1" a="1"/>
  <c r="AB88" i="8" a="1"/>
  <c r="AB86" i="8" s="1" a="1"/>
  <c r="V88" i="8" a="1"/>
  <c r="V86" i="8" s="1" a="1"/>
  <c r="AF88" i="8" a="1"/>
  <c r="AF86" i="8" s="1" a="1"/>
  <c r="Y88" i="8" a="1"/>
  <c r="Y86" i="8" s="1" a="1"/>
  <c r="W88" i="8" a="1"/>
  <c r="W86" i="8" s="1" a="1"/>
  <c r="G89" i="8"/>
  <c r="AC88" i="8" a="1"/>
  <c r="AC86" i="8" s="1" a="1"/>
  <c r="U88" i="8" a="1"/>
  <c r="U86" i="8" s="1" a="1"/>
  <c r="AE88" i="8" a="1"/>
  <c r="AE86" i="8" s="1" a="1"/>
  <c r="A89" i="8"/>
  <c r="S91" i="8"/>
  <c r="R89" i="8"/>
  <c r="F93" i="8"/>
  <c r="H89" i="8" a="1"/>
  <c r="J90" i="8" s="1"/>
  <c r="H90" i="8" a="1"/>
  <c r="E88" i="8" a="1"/>
  <c r="E86" i="8" s="1" a="1"/>
  <c r="Z88" i="8" a="1"/>
  <c r="Z86" i="8" s="1" a="1"/>
  <c r="AD88" i="8" a="1"/>
  <c r="AD86" i="8" s="1" a="1"/>
  <c r="AA88" i="8" a="1"/>
  <c r="AA86" i="8" s="1" a="1"/>
  <c r="P92" i="8" l="1"/>
  <c r="S92" i="8"/>
  <c r="AC91" i="8" s="1" a="1"/>
  <c r="AC89" i="8" s="1" a="1"/>
  <c r="M92" i="8"/>
  <c r="I92" i="8"/>
  <c r="O92" i="8"/>
  <c r="N92" i="8"/>
  <c r="J92" i="8"/>
  <c r="Q92" i="8"/>
  <c r="C89" i="8"/>
  <c r="D89" i="8"/>
  <c r="F91" i="8"/>
  <c r="AF91" i="8" l="1" a="1"/>
  <c r="AF89" i="8" s="1" a="1"/>
  <c r="Z91" i="8" a="1"/>
  <c r="Z89" i="8" s="1" a="1"/>
  <c r="V91" i="8" a="1"/>
  <c r="V89" i="8" s="1" a="1"/>
  <c r="Y91" i="8" a="1"/>
  <c r="Y89" i="8" s="1" a="1"/>
  <c r="AE91" i="8" a="1"/>
  <c r="AE89" i="8" s="1" a="1"/>
  <c r="E91" i="8" a="1"/>
  <c r="E89" i="8" s="1" a="1"/>
  <c r="U91" i="8" a="1"/>
  <c r="U89" i="8" s="1" a="1"/>
  <c r="AB91" i="8" a="1"/>
  <c r="AB89" i="8" s="1" a="1"/>
  <c r="AD91" i="8" a="1"/>
  <c r="AD89" i="8" s="1" a="1"/>
  <c r="W91" i="8" a="1"/>
  <c r="W89" i="8" s="1" a="1"/>
  <c r="S94" i="8"/>
  <c r="A92" i="8"/>
  <c r="R92" i="8"/>
  <c r="F96" i="8"/>
  <c r="H92" i="8" a="1"/>
  <c r="J93" i="8" s="1"/>
  <c r="H93" i="8" a="1"/>
  <c r="AA91" i="8" a="1"/>
  <c r="AA89" i="8" s="1" a="1"/>
  <c r="X91" i="8" a="1"/>
  <c r="X89" i="8" s="1" a="1"/>
  <c r="G92" i="8"/>
  <c r="N95" i="8" l="1"/>
  <c r="Q95" i="8"/>
  <c r="O95" i="8"/>
  <c r="M95" i="8"/>
  <c r="S95" i="8"/>
  <c r="AB94" i="8" s="1" a="1"/>
  <c r="AB92" i="8" s="1" a="1"/>
  <c r="P95" i="8"/>
  <c r="J95" i="8"/>
  <c r="I95" i="8"/>
  <c r="F94" i="8"/>
  <c r="D92" i="8"/>
  <c r="C92" i="8"/>
  <c r="AA94" i="8" l="1" a="1"/>
  <c r="AA92" i="8" s="1" a="1"/>
  <c r="V94" i="8" a="1"/>
  <c r="V92" i="8" s="1" a="1"/>
  <c r="Z94" i="8" a="1"/>
  <c r="Z92" i="8" s="1" a="1"/>
  <c r="G95" i="8"/>
  <c r="AE94" i="8" a="1"/>
  <c r="AE92" i="8" s="1" a="1"/>
  <c r="AC94" i="8" a="1"/>
  <c r="AC92" i="8" s="1" a="1"/>
  <c r="AD94" i="8" a="1"/>
  <c r="AD92" i="8" s="1" a="1"/>
  <c r="U94" i="8" a="1"/>
  <c r="U92" i="8" s="1" a="1"/>
  <c r="W94" i="8" a="1"/>
  <c r="W92" i="8" s="1" a="1"/>
  <c r="Y94" i="8" a="1"/>
  <c r="Y92" i="8" s="1" a="1"/>
  <c r="H96" i="8" a="1"/>
  <c r="H95" i="8" a="1"/>
  <c r="J96" i="8" s="1"/>
  <c r="R95" i="8"/>
  <c r="A95" i="8"/>
  <c r="S97" i="8"/>
  <c r="F99" i="8"/>
  <c r="E94" i="8" a="1"/>
  <c r="E92" i="8" s="1" a="1"/>
  <c r="AF94" i="8" a="1"/>
  <c r="AF92" i="8" s="1" a="1"/>
  <c r="X94" i="8" a="1"/>
  <c r="X92" i="8" s="1" a="1"/>
  <c r="P98" i="8" l="1"/>
  <c r="J98" i="8"/>
  <c r="I98" i="8"/>
  <c r="O98" i="8"/>
  <c r="M98" i="8"/>
  <c r="Q98" i="8"/>
  <c r="N98" i="8"/>
  <c r="S98" i="8"/>
  <c r="C95" i="8"/>
  <c r="D95" i="8"/>
  <c r="F97" i="8"/>
  <c r="W97" i="8" l="1" a="1"/>
  <c r="W95" i="8" s="1" a="1"/>
  <c r="E97" i="8" a="1"/>
  <c r="E95" i="8" s="1" a="1"/>
  <c r="Y97" i="8" a="1"/>
  <c r="Y95" i="8" s="1" a="1"/>
  <c r="AE97" i="8" a="1"/>
  <c r="AE95" i="8" s="1" a="1"/>
  <c r="AB97" i="8" a="1"/>
  <c r="AB95" i="8" s="1" a="1"/>
  <c r="X97" i="8" a="1"/>
  <c r="X95" i="8" s="1" a="1"/>
  <c r="AF97" i="8" a="1"/>
  <c r="AF95" i="8" s="1" a="1"/>
  <c r="Z97" i="8" a="1"/>
  <c r="Z95" i="8" s="1" a="1"/>
  <c r="AA97" i="8" a="1"/>
  <c r="AA95" i="8" s="1" a="1"/>
  <c r="S100" i="8"/>
  <c r="R98" i="8"/>
  <c r="A98" i="8"/>
  <c r="F102" i="8"/>
  <c r="H98" i="8" a="1"/>
  <c r="J99" i="8" s="1"/>
  <c r="H99" i="8" a="1"/>
  <c r="AC97" i="8" a="1"/>
  <c r="AC95" i="8" s="1" a="1"/>
  <c r="U97" i="8" a="1"/>
  <c r="U95" i="8" s="1" a="1"/>
  <c r="V97" i="8" a="1"/>
  <c r="V95" i="8" s="1" a="1"/>
  <c r="AD97" i="8" a="1"/>
  <c r="AD95" i="8" s="1" a="1"/>
  <c r="G98" i="8"/>
  <c r="N101" i="8" l="1"/>
  <c r="M101" i="8"/>
  <c r="I101" i="8"/>
  <c r="P101" i="8"/>
  <c r="J101" i="8"/>
  <c r="Q101" i="8"/>
  <c r="O101" i="8"/>
  <c r="S101" i="8"/>
  <c r="Y100" i="8" s="1" a="1"/>
  <c r="Y98" i="8" s="1" a="1"/>
  <c r="F100" i="8"/>
  <c r="D98" i="8"/>
  <c r="C98" i="8"/>
  <c r="AA100" i="8" l="1" a="1"/>
  <c r="AA98" i="8" s="1" a="1"/>
  <c r="AB100" i="8" a="1"/>
  <c r="AB98" i="8" s="1" a="1"/>
  <c r="V100" i="8" a="1"/>
  <c r="V98" i="8" s="1" a="1"/>
  <c r="AC100" i="8" a="1"/>
  <c r="AC98" i="8" s="1" a="1"/>
  <c r="E100" i="8" a="1"/>
  <c r="E98" i="8" s="1" a="1"/>
  <c r="AE100" i="8" a="1"/>
  <c r="AE98" i="8" s="1" a="1"/>
  <c r="H102" i="8" a="1"/>
  <c r="H101" i="8" a="1"/>
  <c r="J102" i="8" s="1"/>
  <c r="G101" i="8"/>
  <c r="W100" i="8" a="1"/>
  <c r="W98" i="8" s="1" a="1"/>
  <c r="U100" i="8" a="1"/>
  <c r="U98" i="8" s="1" a="1"/>
  <c r="AD100" i="8" a="1"/>
  <c r="AD98" i="8" s="1" a="1"/>
  <c r="X100" i="8" a="1"/>
  <c r="X98" i="8" s="1" a="1"/>
  <c r="Z100" i="8" a="1"/>
  <c r="Z98" i="8" s="1" a="1"/>
  <c r="AF100" i="8" a="1"/>
  <c r="AF98" i="8" s="1" a="1"/>
  <c r="A101" i="8"/>
  <c r="R101" i="8"/>
  <c r="S103" i="8"/>
  <c r="F105" i="8"/>
  <c r="C101" i="8" l="1"/>
  <c r="F103" i="8"/>
  <c r="D101" i="8"/>
  <c r="S104" i="8"/>
  <c r="AC103" i="8" s="1" a="1"/>
  <c r="AC101" i="8" s="1" a="1"/>
  <c r="Q104" i="8"/>
  <c r="P104" i="8"/>
  <c r="I104" i="8"/>
  <c r="M104" i="8"/>
  <c r="O104" i="8"/>
  <c r="N104" i="8"/>
  <c r="J104" i="8"/>
  <c r="AD103" i="8" l="1" a="1"/>
  <c r="AD101" i="8" s="1" a="1"/>
  <c r="Z103" i="8" a="1"/>
  <c r="Z101" i="8" s="1" a="1"/>
  <c r="W103" i="8" a="1"/>
  <c r="W101" i="8" s="1" a="1"/>
  <c r="AF103" i="8" a="1"/>
  <c r="AF101" i="8" s="1" a="1"/>
  <c r="H105" i="8" a="1"/>
  <c r="H104" i="8" a="1"/>
  <c r="J105" i="8" s="1"/>
  <c r="R104" i="8"/>
  <c r="S106" i="8"/>
  <c r="A104" i="8"/>
  <c r="F108" i="8"/>
  <c r="G104" i="8"/>
  <c r="E103" i="8" a="1"/>
  <c r="E101" i="8" s="1" a="1"/>
  <c r="Y103" i="8" a="1"/>
  <c r="Y101" i="8" s="1" a="1"/>
  <c r="AA103" i="8" a="1"/>
  <c r="AA101" i="8" s="1" a="1"/>
  <c r="AB103" i="8" a="1"/>
  <c r="AB101" i="8" s="1" a="1"/>
  <c r="V103" i="8" a="1"/>
  <c r="V101" i="8" s="1" a="1"/>
  <c r="U103" i="8" a="1"/>
  <c r="U101" i="8" s="1" a="1"/>
  <c r="X103" i="8" a="1"/>
  <c r="X101" i="8" s="1" a="1"/>
  <c r="AE103" i="8" a="1"/>
  <c r="AE101" i="8" s="1" a="1"/>
  <c r="F106" i="8" l="1"/>
  <c r="D104" i="8"/>
  <c r="C104" i="8"/>
  <c r="N107" i="8"/>
  <c r="M107" i="8"/>
  <c r="J107" i="8"/>
  <c r="I107" i="8"/>
  <c r="Q107" i="8"/>
  <c r="S107" i="8"/>
  <c r="AF106" i="8" s="1" a="1"/>
  <c r="AF104" i="8" s="1" a="1"/>
  <c r="P107" i="8"/>
  <c r="O107" i="8"/>
  <c r="X106" i="8" l="1" a="1"/>
  <c r="X104" i="8" s="1" a="1"/>
  <c r="Y106" i="8" a="1"/>
  <c r="Y104" i="8" s="1" a="1"/>
  <c r="H108" i="8" a="1"/>
  <c r="H107" i="8" a="1"/>
  <c r="J108" i="8" s="1"/>
  <c r="AA106" i="8" a="1"/>
  <c r="AA104" i="8" s="1" a="1"/>
  <c r="A107" i="8"/>
  <c r="S109" i="8"/>
  <c r="R107" i="8"/>
  <c r="F111" i="8"/>
  <c r="U106" i="8" a="1"/>
  <c r="U104" i="8" s="1" a="1"/>
  <c r="E106" i="8" a="1"/>
  <c r="E104" i="8" s="1" a="1"/>
  <c r="V106" i="8" a="1"/>
  <c r="V104" i="8" s="1" a="1"/>
  <c r="Z106" i="8" a="1"/>
  <c r="Z104" i="8" s="1" a="1"/>
  <c r="W106" i="8" a="1"/>
  <c r="W104" i="8" s="1" a="1"/>
  <c r="AC106" i="8" a="1"/>
  <c r="AC104" i="8" s="1" a="1"/>
  <c r="AD106" i="8" a="1"/>
  <c r="AD104" i="8" s="1" a="1"/>
  <c r="AE106" i="8" a="1"/>
  <c r="AE104" i="8" s="1" a="1"/>
  <c r="G107" i="8"/>
  <c r="AB106" i="8" a="1"/>
  <c r="AB104" i="8" s="1" a="1"/>
  <c r="S110" i="8" l="1"/>
  <c r="AD109" i="8" s="1" a="1"/>
  <c r="AD107" i="8" s="1" a="1"/>
  <c r="Q110" i="8"/>
  <c r="P110" i="8"/>
  <c r="I110" i="8"/>
  <c r="O110" i="8"/>
  <c r="M110" i="8"/>
  <c r="J110" i="8"/>
  <c r="N110" i="8"/>
  <c r="C107" i="8"/>
  <c r="D107" i="8"/>
  <c r="F109" i="8"/>
  <c r="AF109" i="8" l="1" a="1"/>
  <c r="AF107" i="8" s="1" a="1"/>
  <c r="AE109" i="8" a="1"/>
  <c r="AE107" i="8" s="1" a="1"/>
  <c r="Y109" i="8" a="1"/>
  <c r="Y107" i="8" s="1" a="1"/>
  <c r="E109" i="8" a="1"/>
  <c r="E107" i="8" s="1" a="1"/>
  <c r="U109" i="8" a="1"/>
  <c r="U107" i="8" s="1" a="1"/>
  <c r="V109" i="8" a="1"/>
  <c r="V107" i="8" s="1" a="1"/>
  <c r="Z109" i="8" a="1"/>
  <c r="Z107" i="8" s="1" a="1"/>
  <c r="AC109" i="8" a="1"/>
  <c r="AC107" i="8" s="1" a="1"/>
  <c r="AB109" i="8" a="1"/>
  <c r="AB107" i="8" s="1" a="1"/>
  <c r="W109" i="8" a="1"/>
  <c r="W107" i="8" s="1" a="1"/>
  <c r="X109" i="8" a="1"/>
  <c r="X107" i="8" s="1" a="1"/>
  <c r="R110" i="8"/>
  <c r="S112" i="8"/>
  <c r="A110" i="8"/>
  <c r="F114" i="8"/>
  <c r="H111" i="8" a="1"/>
  <c r="H110" i="8" a="1"/>
  <c r="J111" i="8" s="1"/>
  <c r="AA109" i="8" a="1"/>
  <c r="AA107" i="8" s="1" a="1"/>
  <c r="G110" i="8"/>
  <c r="N113" i="8" l="1"/>
  <c r="M113" i="8"/>
  <c r="J113" i="8"/>
  <c r="I113" i="8"/>
  <c r="Q113" i="8"/>
  <c r="O113" i="8"/>
  <c r="S113" i="8"/>
  <c r="P113" i="8"/>
  <c r="F112" i="8"/>
  <c r="D110" i="8"/>
  <c r="C110" i="8"/>
  <c r="V112" i="8" l="1" a="1"/>
  <c r="V110" i="8" s="1" a="1"/>
  <c r="AB112" i="8" a="1"/>
  <c r="AB110" i="8" s="1" a="1"/>
  <c r="AE112" i="8" a="1"/>
  <c r="AE110" i="8" s="1" a="1"/>
  <c r="Z112" i="8" a="1"/>
  <c r="Z110" i="8" s="1" a="1"/>
  <c r="Y112" i="8" a="1"/>
  <c r="Y110" i="8" s="1" a="1"/>
  <c r="G113" i="8"/>
  <c r="AD112" i="8" a="1"/>
  <c r="AD110" i="8" s="1" a="1"/>
  <c r="E112" i="8" a="1"/>
  <c r="E110" i="8" s="1" a="1"/>
  <c r="X112" i="8" a="1"/>
  <c r="X110" i="8" s="1" a="1"/>
  <c r="H114" i="8" a="1"/>
  <c r="H113" i="8" a="1"/>
  <c r="J114" i="8" s="1"/>
  <c r="A113" i="8"/>
  <c r="S115" i="8"/>
  <c r="R113" i="8"/>
  <c r="F117" i="8"/>
  <c r="AF112" i="8" a="1"/>
  <c r="AF110" i="8" s="1" a="1"/>
  <c r="U112" i="8" a="1"/>
  <c r="U110" i="8" s="1" a="1"/>
  <c r="AC112" i="8" a="1"/>
  <c r="AC110" i="8" s="1" a="1"/>
  <c r="AA112" i="8" a="1"/>
  <c r="AA110" i="8" s="1" a="1"/>
  <c r="W112" i="8" a="1"/>
  <c r="W110" i="8" s="1" a="1"/>
  <c r="S116" i="8" l="1"/>
  <c r="W115" i="8" s="1" a="1"/>
  <c r="W113" i="8" s="1" a="1"/>
  <c r="M116" i="8"/>
  <c r="J116" i="8"/>
  <c r="O116" i="8"/>
  <c r="N116" i="8"/>
  <c r="P116" i="8"/>
  <c r="Q116" i="8"/>
  <c r="I116" i="8"/>
  <c r="C113" i="8"/>
  <c r="F115" i="8"/>
  <c r="D113" i="8"/>
  <c r="AF115" i="8" l="1" a="1"/>
  <c r="AF113" i="8" s="1" a="1"/>
  <c r="V115" i="8" a="1"/>
  <c r="V113" i="8" s="1" a="1"/>
  <c r="E115" i="8" a="1"/>
  <c r="E113" i="8" s="1" a="1"/>
  <c r="AE115" i="8" a="1"/>
  <c r="AE113" i="8" s="1" a="1"/>
  <c r="AD115" i="8" a="1"/>
  <c r="AD113" i="8" s="1" a="1"/>
  <c r="Y115" i="8" a="1"/>
  <c r="Y113" i="8" s="1" a="1"/>
  <c r="X115" i="8" a="1"/>
  <c r="X113" i="8" s="1" a="1"/>
  <c r="AC115" i="8" a="1"/>
  <c r="AC113" i="8" s="1" a="1"/>
  <c r="AB115" i="8" a="1"/>
  <c r="AB113" i="8" s="1" a="1"/>
  <c r="AA115" i="8" a="1"/>
  <c r="AA113" i="8" s="1" a="1"/>
  <c r="Z115" i="8" a="1"/>
  <c r="Z113" i="8" s="1" a="1"/>
  <c r="R116" i="8"/>
  <c r="A116" i="8"/>
  <c r="S118" i="8"/>
  <c r="F120" i="8"/>
  <c r="H116" i="8" a="1"/>
  <c r="J117" i="8" s="1"/>
  <c r="H117" i="8" a="1"/>
  <c r="U115" i="8" a="1"/>
  <c r="U113" i="8" s="1" a="1"/>
  <c r="G116" i="8"/>
  <c r="N119" i="8" l="1"/>
  <c r="J119" i="8"/>
  <c r="I119" i="8"/>
  <c r="P119" i="8"/>
  <c r="O119" i="8"/>
  <c r="S119" i="8"/>
  <c r="AB118" i="8" s="1" a="1"/>
  <c r="AB116" i="8" s="1" a="1"/>
  <c r="Q119" i="8"/>
  <c r="M119" i="8"/>
  <c r="F118" i="8"/>
  <c r="D116" i="8"/>
  <c r="C116" i="8"/>
  <c r="V118" i="8" l="1" a="1"/>
  <c r="V116" i="8" s="1" a="1"/>
  <c r="X118" i="8" a="1"/>
  <c r="X116" i="8" s="1" a="1"/>
  <c r="W118" i="8" a="1"/>
  <c r="W116" i="8" s="1" a="1"/>
  <c r="AE118" i="8" a="1"/>
  <c r="AE116" i="8" s="1" a="1"/>
  <c r="AC118" i="8" a="1"/>
  <c r="AC116" i="8" s="1" a="1"/>
  <c r="AD118" i="8" a="1"/>
  <c r="AD116" i="8" s="1" a="1"/>
  <c r="E118" i="8" a="1"/>
  <c r="E116" i="8" s="1" a="1"/>
  <c r="U118" i="8" a="1"/>
  <c r="U116" i="8" s="1" a="1"/>
  <c r="H120" i="8" a="1"/>
  <c r="H119" i="8" a="1"/>
  <c r="J120" i="8" s="1"/>
  <c r="S121" i="8"/>
  <c r="A119" i="8"/>
  <c r="R119" i="8"/>
  <c r="F123" i="8"/>
  <c r="G119" i="8"/>
  <c r="Y118" i="8" a="1"/>
  <c r="Y116" i="8" s="1" a="1"/>
  <c r="AF118" i="8" a="1"/>
  <c r="AF116" i="8" s="1" a="1"/>
  <c r="AA118" i="8" a="1"/>
  <c r="AA116" i="8" s="1" a="1"/>
  <c r="Z118" i="8" a="1"/>
  <c r="Z116" i="8" s="1" a="1"/>
  <c r="Q122" i="8" l="1"/>
  <c r="J122" i="8"/>
  <c r="N122" i="8"/>
  <c r="M122" i="8"/>
  <c r="S122" i="8"/>
  <c r="P122" i="8"/>
  <c r="I122" i="8"/>
  <c r="O122" i="8"/>
  <c r="C119" i="8"/>
  <c r="F121" i="8"/>
  <c r="D119" i="8"/>
  <c r="AB121" i="8" l="1" a="1"/>
  <c r="AB119" i="8" s="1" a="1"/>
  <c r="V121" i="8" a="1"/>
  <c r="V119" i="8" s="1" a="1"/>
  <c r="G122" i="8"/>
  <c r="Z121" i="8" a="1"/>
  <c r="Z119" i="8" s="1" a="1"/>
  <c r="AA121" i="8" a="1"/>
  <c r="AA119" i="8" s="1" a="1"/>
  <c r="Y121" i="8" a="1"/>
  <c r="Y119" i="8" s="1" a="1"/>
  <c r="X121" i="8" a="1"/>
  <c r="X119" i="8" s="1" a="1"/>
  <c r="U121" i="8" a="1"/>
  <c r="U119" i="8" s="1" a="1"/>
  <c r="AC121" i="8" a="1"/>
  <c r="AC119" i="8" s="1" a="1"/>
  <c r="S124" i="8"/>
  <c r="R122" i="8"/>
  <c r="A122" i="8"/>
  <c r="F126" i="8"/>
  <c r="H122" i="8" a="1"/>
  <c r="J123" i="8" s="1"/>
  <c r="H123" i="8" a="1"/>
  <c r="AE121" i="8" a="1"/>
  <c r="AE119" i="8" s="1" a="1"/>
  <c r="W121" i="8" a="1"/>
  <c r="W119" i="8" s="1" a="1"/>
  <c r="E121" i="8" a="1"/>
  <c r="E119" i="8" s="1" a="1"/>
  <c r="AD121" i="8" a="1"/>
  <c r="AD119" i="8" s="1" a="1"/>
  <c r="AF121" i="8" a="1"/>
  <c r="AF119" i="8" s="1" a="1"/>
  <c r="I125" i="8" l="1"/>
  <c r="M125" i="8"/>
  <c r="J125" i="8"/>
  <c r="N125" i="8"/>
  <c r="Q125" i="8"/>
  <c r="P125" i="8"/>
  <c r="S125" i="8"/>
  <c r="G125" i="8" s="1"/>
  <c r="O125" i="8"/>
  <c r="F124" i="8"/>
  <c r="C122" i="8"/>
  <c r="D122" i="8"/>
  <c r="AC124" i="8" l="1" a="1"/>
  <c r="AC122" i="8" s="1" a="1"/>
  <c r="AF124" i="8" a="1"/>
  <c r="AF122" i="8" s="1" a="1"/>
  <c r="V124" i="8" a="1"/>
  <c r="V122" i="8" s="1" a="1"/>
  <c r="Z124" i="8" a="1"/>
  <c r="Z122" i="8" s="1" a="1"/>
  <c r="AE124" i="8" a="1"/>
  <c r="AE122" i="8" s="1" a="1"/>
  <c r="AA124" i="8" a="1"/>
  <c r="AA122" i="8" s="1" a="1"/>
  <c r="AB124" i="8" a="1"/>
  <c r="AB122" i="8" s="1" a="1"/>
  <c r="U124" i="8" a="1"/>
  <c r="U122" i="8" s="1" a="1"/>
  <c r="W124" i="8" a="1"/>
  <c r="W122" i="8" s="1" a="1"/>
  <c r="Y124" i="8" a="1"/>
  <c r="Y122" i="8" s="1" a="1"/>
  <c r="H126" i="8" a="1"/>
  <c r="H125" i="8" a="1"/>
  <c r="J126" i="8" s="1"/>
  <c r="A125" i="8"/>
  <c r="S127" i="8"/>
  <c r="R125" i="8"/>
  <c r="F129" i="8"/>
  <c r="X124" i="8" a="1"/>
  <c r="X122" i="8" s="1" a="1"/>
  <c r="E124" i="8" a="1"/>
  <c r="E122" i="8" s="1" a="1"/>
  <c r="AD124" i="8" a="1"/>
  <c r="AD122" i="8" s="1" a="1"/>
  <c r="Q128" i="8" l="1"/>
  <c r="M128" i="8"/>
  <c r="J128" i="8"/>
  <c r="S128" i="8"/>
  <c r="G128" i="8" s="1"/>
  <c r="P128" i="8"/>
  <c r="I128" i="8"/>
  <c r="N128" i="8"/>
  <c r="O128" i="8"/>
  <c r="F127" i="8"/>
  <c r="D125" i="8"/>
  <c r="C125" i="8"/>
  <c r="Y127" i="8" l="1" a="1"/>
  <c r="Y125" i="8" s="1" a="1"/>
  <c r="Z127" i="8" a="1"/>
  <c r="Z125" i="8" s="1" a="1"/>
  <c r="X127" i="8" a="1"/>
  <c r="X125" i="8" s="1" a="1"/>
  <c r="V127" i="8" a="1"/>
  <c r="V125" i="8" s="1" a="1"/>
  <c r="AC127" i="8" a="1"/>
  <c r="AC125" i="8" s="1" a="1"/>
  <c r="W127" i="8" a="1"/>
  <c r="W125" i="8" s="1" a="1"/>
  <c r="AD127" i="8" a="1"/>
  <c r="AD125" i="8" s="1" a="1"/>
  <c r="AE127" i="8" a="1"/>
  <c r="AE125" i="8" s="1" a="1"/>
  <c r="AF127" i="8" a="1"/>
  <c r="AF125" i="8" s="1" a="1"/>
  <c r="S130" i="8"/>
  <c r="A128" i="8"/>
  <c r="R128" i="8"/>
  <c r="F132" i="8"/>
  <c r="H129" i="8" a="1"/>
  <c r="H128" i="8" a="1"/>
  <c r="J129" i="8" s="1"/>
  <c r="AA127" i="8" a="1"/>
  <c r="AA125" i="8" s="1" a="1"/>
  <c r="E127" i="8" a="1"/>
  <c r="E125" i="8" s="1" a="1"/>
  <c r="U127" i="8" a="1"/>
  <c r="U125" i="8" s="1" a="1"/>
  <c r="AB127" i="8" a="1"/>
  <c r="AB125" i="8" s="1" a="1"/>
  <c r="I131" i="8" l="1"/>
  <c r="N131" i="8"/>
  <c r="M131" i="8"/>
  <c r="J131" i="8"/>
  <c r="S131" i="8"/>
  <c r="Q131" i="8"/>
  <c r="P131" i="8"/>
  <c r="O131" i="8"/>
  <c r="F130" i="8"/>
  <c r="D128" i="8"/>
  <c r="C128" i="8"/>
  <c r="G131" i="8" l="1"/>
  <c r="AF130" i="8" a="1"/>
  <c r="AF128" i="8" s="1" a="1"/>
  <c r="E130" i="8" a="1"/>
  <c r="E128" i="8" s="1" a="1"/>
  <c r="AC130" i="8" a="1"/>
  <c r="AC128" i="8" s="1" a="1"/>
  <c r="AA130" i="8" a="1"/>
  <c r="AA128" i="8" s="1" a="1"/>
  <c r="Y130" i="8" a="1"/>
  <c r="Y128" i="8" s="1" a="1"/>
  <c r="AD130" i="8" a="1"/>
  <c r="AD128" i="8" s="1" a="1"/>
  <c r="U130" i="8" a="1"/>
  <c r="U128" i="8" s="1" a="1"/>
  <c r="W130" i="8" a="1"/>
  <c r="W128" i="8" s="1" a="1"/>
  <c r="H132" i="8" a="1"/>
  <c r="H131" i="8" a="1"/>
  <c r="J132" i="8" s="1"/>
  <c r="S133" i="8"/>
  <c r="A131" i="8"/>
  <c r="R131" i="8"/>
  <c r="F135" i="8"/>
  <c r="X130" i="8" a="1"/>
  <c r="X128" i="8" s="1" a="1"/>
  <c r="AB130" i="8" a="1"/>
  <c r="AB128" i="8" s="1" a="1"/>
  <c r="V130" i="8" a="1"/>
  <c r="V128" i="8" s="1" a="1"/>
  <c r="AE130" i="8" a="1"/>
  <c r="AE128" i="8" s="1" a="1"/>
  <c r="Z130" i="8" a="1"/>
  <c r="Z128" i="8" s="1" a="1"/>
  <c r="Q134" i="8" l="1"/>
  <c r="N134" i="8"/>
  <c r="M134" i="8"/>
  <c r="J134" i="8"/>
  <c r="I134" i="8"/>
  <c r="S134" i="8"/>
  <c r="P134" i="8"/>
  <c r="O134" i="8"/>
  <c r="F133" i="8"/>
  <c r="C131" i="8"/>
  <c r="D131" i="8"/>
  <c r="W133" i="8" l="1" a="1"/>
  <c r="W131" i="8" s="1" a="1"/>
  <c r="AA133" i="8" a="1"/>
  <c r="AA131" i="8" s="1" a="1"/>
  <c r="X133" i="8" a="1"/>
  <c r="X131" i="8" s="1" a="1"/>
  <c r="U133" i="8" a="1"/>
  <c r="U131" i="8" s="1" a="1"/>
  <c r="Y133" i="8" a="1"/>
  <c r="Y131" i="8" s="1" a="1"/>
  <c r="AC133" i="8" a="1"/>
  <c r="AC131" i="8" s="1" a="1"/>
  <c r="V133" i="8" a="1"/>
  <c r="V131" i="8" s="1" a="1"/>
  <c r="H134" i="8" a="1"/>
  <c r="J135" i="8" s="1"/>
  <c r="H135" i="8" a="1"/>
  <c r="AE133" i="8" a="1"/>
  <c r="AE131" i="8" s="1" a="1"/>
  <c r="G134" i="8"/>
  <c r="S136" i="8"/>
  <c r="A134" i="8"/>
  <c r="R134" i="8"/>
  <c r="F138" i="8"/>
  <c r="AB133" i="8" a="1"/>
  <c r="AB131" i="8" s="1" a="1"/>
  <c r="E133" i="8" a="1"/>
  <c r="E131" i="8" s="1" a="1"/>
  <c r="AF133" i="8" a="1"/>
  <c r="AF131" i="8" s="1" a="1"/>
  <c r="AD133" i="8" a="1"/>
  <c r="AD131" i="8" s="1" a="1"/>
  <c r="Z133" i="8" a="1"/>
  <c r="Z131" i="8" s="1" a="1"/>
  <c r="I137" i="8" l="1"/>
  <c r="S137" i="8"/>
  <c r="AC136" i="8" s="1" a="1"/>
  <c r="AC134" i="8" s="1" a="1"/>
  <c r="Q137" i="8"/>
  <c r="P137" i="8"/>
  <c r="O137" i="8"/>
  <c r="M137" i="8"/>
  <c r="J137" i="8"/>
  <c r="N137" i="8"/>
  <c r="F136" i="8"/>
  <c r="D134" i="8"/>
  <c r="C134" i="8"/>
  <c r="E136" i="8" l="1" a="1"/>
  <c r="E134" i="8" s="1" a="1"/>
  <c r="AB136" i="8" a="1"/>
  <c r="AB134" i="8" s="1" a="1"/>
  <c r="Z136" i="8" a="1"/>
  <c r="Z134" i="8" s="1" a="1"/>
  <c r="V136" i="8" a="1"/>
  <c r="V134" i="8" s="1" a="1"/>
  <c r="AA136" i="8" a="1"/>
  <c r="AA134" i="8" s="1" a="1"/>
  <c r="Y136" i="8" a="1"/>
  <c r="Y134" i="8" s="1" a="1"/>
  <c r="AE136" i="8" a="1"/>
  <c r="AE134" i="8" s="1" a="1"/>
  <c r="U136" i="8" a="1"/>
  <c r="U134" i="8" s="1" a="1"/>
  <c r="X136" i="8" a="1"/>
  <c r="X134" i="8" s="1" a="1"/>
  <c r="AD136" i="8" a="1"/>
  <c r="AD134" i="8" s="1" a="1"/>
  <c r="G137" i="8"/>
  <c r="AF136" i="8" a="1"/>
  <c r="AF134" i="8" s="1" a="1"/>
  <c r="W136" i="8" a="1"/>
  <c r="W134" i="8" s="1" a="1"/>
  <c r="R137" i="8"/>
  <c r="A137" i="8"/>
  <c r="S139" i="8"/>
  <c r="F141" i="8"/>
  <c r="H138" i="8" a="1"/>
  <c r="H137" i="8" a="1"/>
  <c r="J138" i="8" s="1"/>
  <c r="Q140" i="8" l="1"/>
  <c r="M140" i="8"/>
  <c r="O140" i="8"/>
  <c r="N140" i="8"/>
  <c r="J140" i="8"/>
  <c r="I140" i="8"/>
  <c r="S140" i="8"/>
  <c r="X139" i="8" s="1" a="1"/>
  <c r="X137" i="8" s="1" a="1"/>
  <c r="P140" i="8"/>
  <c r="D137" i="8"/>
  <c r="C137" i="8"/>
  <c r="F139" i="8"/>
  <c r="E139" i="8" l="1" a="1"/>
  <c r="E137" i="8" s="1" a="1"/>
  <c r="Z139" i="8" a="1"/>
  <c r="Z137" i="8" s="1" a="1"/>
  <c r="AB139" i="8" a="1"/>
  <c r="AB137" i="8" s="1" a="1"/>
  <c r="G140" i="8"/>
  <c r="AC139" i="8" a="1"/>
  <c r="AC137" i="8" s="1" a="1"/>
  <c r="U139" i="8" a="1"/>
  <c r="U137" i="8" s="1" a="1"/>
  <c r="V139" i="8" a="1"/>
  <c r="V137" i="8" s="1" a="1"/>
  <c r="W139" i="8" a="1"/>
  <c r="W137" i="8" s="1" a="1"/>
  <c r="AE139" i="8" a="1"/>
  <c r="AE137" i="8" s="1" a="1"/>
  <c r="AF139" i="8" a="1"/>
  <c r="AF137" i="8" s="1" a="1"/>
  <c r="H140" i="8" a="1"/>
  <c r="J141" i="8" s="1"/>
  <c r="H141" i="8" a="1"/>
  <c r="Y139" i="8" a="1"/>
  <c r="Y137" i="8" s="1" a="1"/>
  <c r="S142" i="8"/>
  <c r="A140" i="8"/>
  <c r="R140" i="8"/>
  <c r="F144" i="8"/>
  <c r="AD139" i="8" a="1"/>
  <c r="AD137" i="8" s="1" a="1"/>
  <c r="AA139" i="8" a="1"/>
  <c r="AA137" i="8" s="1" a="1"/>
  <c r="I143" i="8" l="1"/>
  <c r="S143" i="8"/>
  <c r="Q143" i="8"/>
  <c r="M143" i="8"/>
  <c r="J143" i="8"/>
  <c r="P143" i="8"/>
  <c r="O143" i="8"/>
  <c r="N143" i="8"/>
  <c r="F142" i="8"/>
  <c r="D140" i="8"/>
  <c r="C140" i="8"/>
  <c r="V142" i="8" l="1" a="1"/>
  <c r="V140" i="8" s="1" a="1"/>
  <c r="AA142" i="8" a="1"/>
  <c r="AA140" i="8" s="1" a="1"/>
  <c r="G143" i="8"/>
  <c r="X142" i="8" a="1"/>
  <c r="X140" i="8" s="1" a="1"/>
  <c r="AD142" i="8" a="1"/>
  <c r="AD140" i="8" s="1" a="1"/>
  <c r="AC142" i="8" a="1"/>
  <c r="AC140" i="8" s="1" a="1"/>
  <c r="W142" i="8" a="1"/>
  <c r="W140" i="8" s="1" a="1"/>
  <c r="Z142" i="8" a="1"/>
  <c r="Z140" i="8" s="1" a="1"/>
  <c r="E142" i="8" a="1"/>
  <c r="E140" i="8" s="1" a="1"/>
  <c r="AF142" i="8" a="1"/>
  <c r="AF140" i="8" s="1" a="1"/>
  <c r="U142" i="8" a="1"/>
  <c r="U140" i="8" s="1" a="1"/>
  <c r="AB142" i="8" a="1"/>
  <c r="AB140" i="8" s="1" a="1"/>
  <c r="R143" i="8"/>
  <c r="A143" i="8"/>
  <c r="S145" i="8"/>
  <c r="F147" i="8"/>
  <c r="H144" i="8" a="1"/>
  <c r="H143" i="8" a="1"/>
  <c r="J144" i="8" s="1"/>
  <c r="AE142" i="8" a="1"/>
  <c r="AE140" i="8" s="1" a="1"/>
  <c r="Y142" i="8" a="1"/>
  <c r="Y140" i="8" s="1" a="1"/>
  <c r="Q146" i="8" l="1"/>
  <c r="M146" i="8"/>
  <c r="P146" i="8"/>
  <c r="O146" i="8"/>
  <c r="N146" i="8"/>
  <c r="J146" i="8"/>
  <c r="I146" i="8"/>
  <c r="S146" i="8"/>
  <c r="G146" i="8" s="1"/>
  <c r="F145" i="8"/>
  <c r="D143" i="8"/>
  <c r="C143" i="8"/>
  <c r="AF145" i="8" l="1" a="1"/>
  <c r="AF143" i="8" s="1" a="1"/>
  <c r="AA145" i="8" a="1"/>
  <c r="AA143" i="8" s="1" a="1"/>
  <c r="Y145" i="8" a="1"/>
  <c r="Y143" i="8" s="1" a="1"/>
  <c r="W145" i="8" a="1"/>
  <c r="W143" i="8" s="1" a="1"/>
  <c r="AE145" i="8" a="1"/>
  <c r="AE143" i="8" s="1" a="1"/>
  <c r="U145" i="8" a="1"/>
  <c r="U143" i="8" s="1" a="1"/>
  <c r="AD145" i="8" a="1"/>
  <c r="AD143" i="8" s="1" a="1"/>
  <c r="H147" i="8" a="1"/>
  <c r="H146" i="8" a="1"/>
  <c r="J147" i="8" s="1"/>
  <c r="R146" i="8"/>
  <c r="A146" i="8"/>
  <c r="S148" i="8"/>
  <c r="F150" i="8"/>
  <c r="E145" i="8" a="1"/>
  <c r="E143" i="8" s="1" a="1"/>
  <c r="Z145" i="8" a="1"/>
  <c r="Z143" i="8" s="1" a="1"/>
  <c r="X145" i="8" a="1"/>
  <c r="X143" i="8" s="1" a="1"/>
  <c r="V145" i="8" a="1"/>
  <c r="V143" i="8" s="1" a="1"/>
  <c r="AB145" i="8" a="1"/>
  <c r="AB143" i="8" s="1" a="1"/>
  <c r="AC145" i="8" a="1"/>
  <c r="AC143" i="8" s="1" a="1"/>
  <c r="O149" i="8" l="1"/>
  <c r="S149" i="8"/>
  <c r="AE148" i="8" s="1" a="1"/>
  <c r="AE146" i="8" s="1" a="1"/>
  <c r="Q149" i="8"/>
  <c r="J149" i="8"/>
  <c r="M149" i="8"/>
  <c r="I149" i="8"/>
  <c r="P149" i="8"/>
  <c r="N149" i="8"/>
  <c r="D146" i="8"/>
  <c r="C146" i="8"/>
  <c r="F148" i="8"/>
  <c r="V148" i="8" l="1" a="1"/>
  <c r="V146" i="8" s="1" a="1"/>
  <c r="E148" i="8" a="1"/>
  <c r="E146" i="8" s="1" a="1"/>
  <c r="Z148" i="8" a="1"/>
  <c r="Z146" i="8" s="1" a="1"/>
  <c r="Y148" i="8" a="1"/>
  <c r="Y146" i="8" s="1" a="1"/>
  <c r="X148" i="8" a="1"/>
  <c r="X146" i="8" s="1" a="1"/>
  <c r="AD148" i="8" a="1"/>
  <c r="AD146" i="8" s="1" a="1"/>
  <c r="U148" i="8" a="1"/>
  <c r="U146" i="8" s="1" a="1"/>
  <c r="AB148" i="8" a="1"/>
  <c r="AB146" i="8" s="1" a="1"/>
  <c r="W148" i="8" a="1"/>
  <c r="W146" i="8" s="1" a="1"/>
  <c r="R149" i="8"/>
  <c r="A149" i="8"/>
  <c r="S151" i="8"/>
  <c r="F153" i="8"/>
  <c r="H149" i="8" a="1"/>
  <c r="J150" i="8" s="1"/>
  <c r="H150" i="8" a="1"/>
  <c r="G149" i="8"/>
  <c r="AF148" i="8" a="1"/>
  <c r="AF146" i="8" s="1" a="1"/>
  <c r="AC148" i="8" a="1"/>
  <c r="AC146" i="8" s="1" a="1"/>
  <c r="AA148" i="8" a="1"/>
  <c r="AA146" i="8" s="1" a="1"/>
  <c r="O152" i="8" l="1"/>
  <c r="N152" i="8"/>
  <c r="J152" i="8"/>
  <c r="S152" i="8"/>
  <c r="X151" i="8" s="1" a="1"/>
  <c r="X149" i="8" s="1" a="1"/>
  <c r="M152" i="8"/>
  <c r="Q152" i="8"/>
  <c r="P152" i="8"/>
  <c r="I152" i="8"/>
  <c r="D149" i="8"/>
  <c r="C149" i="8"/>
  <c r="F151" i="8"/>
  <c r="V151" i="8" l="1" a="1"/>
  <c r="V149" i="8" s="1" a="1"/>
  <c r="AA151" i="8" a="1"/>
  <c r="AA149" i="8" s="1" a="1"/>
  <c r="AB151" i="8" a="1"/>
  <c r="AB149" i="8" s="1" a="1"/>
  <c r="E151" i="8" a="1"/>
  <c r="E149" i="8" s="1" a="1"/>
  <c r="W151" i="8" a="1"/>
  <c r="W149" i="8" s="1" a="1"/>
  <c r="G152" i="8"/>
  <c r="AF151" i="8" a="1"/>
  <c r="AF149" i="8" s="1" a="1"/>
  <c r="Y151" i="8" a="1"/>
  <c r="Y149" i="8" s="1" a="1"/>
  <c r="AC151" i="8" a="1"/>
  <c r="AC149" i="8" s="1" a="1"/>
  <c r="AD151" i="8" a="1"/>
  <c r="AD149" i="8" s="1" a="1"/>
  <c r="A152" i="8"/>
  <c r="R152" i="8"/>
  <c r="S154" i="8"/>
  <c r="F156" i="8"/>
  <c r="H152" i="8" a="1"/>
  <c r="J153" i="8" s="1"/>
  <c r="H153" i="8" a="1"/>
  <c r="Z151" i="8" a="1"/>
  <c r="Z149" i="8" s="1" a="1"/>
  <c r="AE151" i="8" a="1"/>
  <c r="AE149" i="8" s="1" a="1"/>
  <c r="U151" i="8" a="1"/>
  <c r="U149" i="8" s="1" a="1"/>
  <c r="S155" i="8" l="1"/>
  <c r="X154" i="8" s="1" a="1"/>
  <c r="X152" i="8" s="1" a="1"/>
  <c r="Q155" i="8"/>
  <c r="O155" i="8"/>
  <c r="J155" i="8"/>
  <c r="I155" i="8"/>
  <c r="P155" i="8"/>
  <c r="M155" i="8"/>
  <c r="N155" i="8"/>
  <c r="D152" i="8"/>
  <c r="C152" i="8"/>
  <c r="F154" i="8"/>
  <c r="AD154" i="8" l="1" a="1"/>
  <c r="AD152" i="8" s="1" a="1"/>
  <c r="AE154" i="8" a="1"/>
  <c r="AE152" i="8" s="1" a="1"/>
  <c r="AF154" i="8" a="1"/>
  <c r="AF152" i="8" s="1" a="1"/>
  <c r="W154" i="8" a="1"/>
  <c r="W152" i="8" s="1" a="1"/>
  <c r="U154" i="8" a="1"/>
  <c r="U152" i="8" s="1" a="1"/>
  <c r="AB154" i="8" a="1"/>
  <c r="AB152" i="8" s="1" a="1"/>
  <c r="Y154" i="8" a="1"/>
  <c r="Y152" i="8" s="1" a="1"/>
  <c r="AC154" i="8" a="1"/>
  <c r="AC152" i="8" s="1" a="1"/>
  <c r="V154" i="8" a="1"/>
  <c r="V152" i="8" s="1" a="1"/>
  <c r="Z154" i="8" a="1"/>
  <c r="Z152" i="8" s="1" a="1"/>
  <c r="AA154" i="8" a="1"/>
  <c r="AA152" i="8" s="1" a="1"/>
  <c r="H155" i="8" a="1"/>
  <c r="J156" i="8" s="1"/>
  <c r="H156" i="8" a="1"/>
  <c r="R155" i="8"/>
  <c r="A155" i="8"/>
  <c r="S157" i="8"/>
  <c r="F159" i="8"/>
  <c r="E154" i="8" a="1"/>
  <c r="E152" i="8" s="1" a="1"/>
  <c r="G155" i="8"/>
  <c r="F157" i="8" l="1"/>
  <c r="D155" i="8"/>
  <c r="C155" i="8"/>
  <c r="O158" i="8"/>
  <c r="N158" i="8"/>
  <c r="J158" i="8"/>
  <c r="P158" i="8"/>
  <c r="M158" i="8"/>
  <c r="I158" i="8"/>
  <c r="Q158" i="8"/>
  <c r="S158" i="8"/>
  <c r="AB157" i="8" s="1" a="1"/>
  <c r="AB155" i="8" s="1" a="1"/>
  <c r="Z157" i="8" l="1" a="1"/>
  <c r="Z155" i="8" s="1" a="1"/>
  <c r="AF157" i="8" a="1"/>
  <c r="AF155" i="8" s="1" a="1"/>
  <c r="AE157" i="8" a="1"/>
  <c r="AE155" i="8" s="1" a="1"/>
  <c r="E157" i="8" a="1"/>
  <c r="E155" i="8" s="1" a="1"/>
  <c r="AD157" i="8" a="1"/>
  <c r="AD155" i="8" s="1" a="1"/>
  <c r="AC157" i="8" a="1"/>
  <c r="AC155" i="8" s="1" a="1"/>
  <c r="X157" i="8" a="1"/>
  <c r="X155" i="8" s="1" a="1"/>
  <c r="G158" i="8"/>
  <c r="U157" i="8" a="1"/>
  <c r="U155" i="8" s="1" a="1"/>
  <c r="Y157" i="8" a="1"/>
  <c r="Y155" i="8" s="1" a="1"/>
  <c r="AA157" i="8" a="1"/>
  <c r="AA155" i="8" s="1" a="1"/>
  <c r="A158" i="8"/>
  <c r="S160" i="8"/>
  <c r="R158" i="8"/>
  <c r="F162" i="8"/>
  <c r="H158" i="8" a="1"/>
  <c r="J159" i="8" s="1"/>
  <c r="H159" i="8" a="1"/>
  <c r="W157" i="8" a="1"/>
  <c r="W155" i="8" s="1" a="1"/>
  <c r="V157" i="8" a="1"/>
  <c r="V155" i="8" s="1" a="1"/>
  <c r="S161" i="8" l="1"/>
  <c r="Z160" i="8" s="1" a="1"/>
  <c r="Z158" i="8" s="1" a="1"/>
  <c r="O161" i="8"/>
  <c r="N161" i="8"/>
  <c r="M161" i="8"/>
  <c r="J161" i="8"/>
  <c r="I161" i="8"/>
  <c r="Q161" i="8"/>
  <c r="P161" i="8"/>
  <c r="D158" i="8"/>
  <c r="C158" i="8"/>
  <c r="F160" i="8"/>
  <c r="X160" i="8" l="1" a="1"/>
  <c r="X158" i="8" s="1" a="1"/>
  <c r="Y160" i="8" a="1"/>
  <c r="Y158" i="8" s="1" a="1"/>
  <c r="V160" i="8" a="1"/>
  <c r="V158" i="8" s="1" a="1"/>
  <c r="AE160" i="8" a="1"/>
  <c r="AE158" i="8" s="1" a="1"/>
  <c r="AF160" i="8" a="1"/>
  <c r="AF158" i="8" s="1" a="1"/>
  <c r="W160" i="8" a="1"/>
  <c r="W158" i="8" s="1" a="1"/>
  <c r="E160" i="8" a="1"/>
  <c r="E158" i="8" s="1" a="1"/>
  <c r="AD160" i="8" a="1"/>
  <c r="AD158" i="8" s="1" a="1"/>
  <c r="AC160" i="8" a="1"/>
  <c r="AC158" i="8" s="1" a="1"/>
  <c r="AB160" i="8" a="1"/>
  <c r="AB158" i="8" s="1" a="1"/>
  <c r="AA160" i="8" a="1"/>
  <c r="AA158" i="8" s="1" a="1"/>
  <c r="U160" i="8" a="1"/>
  <c r="U158" i="8" s="1" a="1"/>
  <c r="O44" i="8"/>
  <c r="R44" i="8" s="1"/>
  <c r="O47" i="8"/>
  <c r="R47" i="8" s="1"/>
  <c r="O38" i="8"/>
  <c r="R38" i="8" s="1"/>
  <c r="O41" i="8"/>
  <c r="R41" i="8" s="1"/>
  <c r="O32" i="8"/>
  <c r="R32" i="8" s="1"/>
  <c r="O35" i="8"/>
  <c r="R35" i="8" s="1"/>
  <c r="O26" i="8"/>
  <c r="R26" i="8" s="1"/>
  <c r="O29" i="8"/>
  <c r="R29" i="8" s="1"/>
  <c r="O20" i="8"/>
  <c r="R20" i="8" s="1"/>
  <c r="O23" i="8"/>
  <c r="R23" i="8" s="1"/>
  <c r="R161" i="8"/>
  <c r="S163" i="8"/>
  <c r="A161" i="8"/>
  <c r="O17" i="8"/>
  <c r="R17" i="8" s="1"/>
  <c r="R165" i="8"/>
  <c r="I165" i="8" s="1"/>
  <c r="H161" i="8" a="1"/>
  <c r="J162" i="8" s="1"/>
  <c r="H162" i="8" a="1"/>
  <c r="G161" i="8"/>
  <c r="H48" i="8" l="1" a="1"/>
  <c r="H47" i="8" a="1"/>
  <c r="J48" i="8" s="1"/>
  <c r="F46" i="8"/>
  <c r="H44" i="8" a="1"/>
  <c r="J45" i="8" s="1"/>
  <c r="H45" i="8" a="1"/>
  <c r="H29" i="8" a="1"/>
  <c r="J30" i="8" s="1"/>
  <c r="H30" i="8" a="1"/>
  <c r="H41" i="8" a="1"/>
  <c r="J42" i="8" s="1"/>
  <c r="H42" i="8" a="1"/>
  <c r="D38" i="8"/>
  <c r="H39" i="8" a="1"/>
  <c r="H38" i="8" a="1"/>
  <c r="J39" i="8" s="1"/>
  <c r="H35" i="8" a="1"/>
  <c r="J36" i="8" s="1"/>
  <c r="H36" i="8" a="1"/>
  <c r="F34" i="8"/>
  <c r="H33" i="8" a="1"/>
  <c r="H32" i="8" a="1"/>
  <c r="J33" i="8" s="1"/>
  <c r="H26" i="8" a="1"/>
  <c r="J27" i="8" s="1"/>
  <c r="H27" i="8" a="1"/>
  <c r="H23" i="8" a="1"/>
  <c r="J24" i="8" s="1"/>
  <c r="H24" i="8" a="1"/>
  <c r="C20" i="8"/>
  <c r="H20" i="8" a="1"/>
  <c r="J21" i="8" s="1"/>
  <c r="H21" i="8" a="1"/>
  <c r="H18" i="8" a="1"/>
  <c r="H17" i="8" a="1"/>
  <c r="J18" i="8" s="1"/>
  <c r="D44" i="8"/>
  <c r="C44" i="8"/>
  <c r="D47" i="8"/>
  <c r="C47" i="8"/>
  <c r="F49" i="8"/>
  <c r="AC49" i="8" s="1" a="1"/>
  <c r="AC47" i="8" s="1" a="1"/>
  <c r="C38" i="8"/>
  <c r="F40" i="8"/>
  <c r="W40" i="8" s="1" a="1"/>
  <c r="W38" i="8" s="1" a="1"/>
  <c r="F43" i="8"/>
  <c r="V43" i="8" s="1" a="1"/>
  <c r="V41" i="8" s="1" a="1"/>
  <c r="D41" i="8"/>
  <c r="C41" i="8"/>
  <c r="D32" i="8"/>
  <c r="C32" i="8"/>
  <c r="D35" i="8"/>
  <c r="C35" i="8"/>
  <c r="F37" i="8"/>
  <c r="F28" i="8"/>
  <c r="V28" i="8" s="1" a="1"/>
  <c r="V26" i="8" s="1" a="1"/>
  <c r="C26" i="8"/>
  <c r="D26" i="8"/>
  <c r="D29" i="8"/>
  <c r="F31" i="8"/>
  <c r="AD31" i="8" s="1" a="1"/>
  <c r="AD29" i="8" s="1" a="1"/>
  <c r="C29" i="8"/>
  <c r="D20" i="8"/>
  <c r="F22" i="8"/>
  <c r="AA22" i="8" s="1" a="1"/>
  <c r="AA20" i="8" s="1" a="1"/>
  <c r="F25" i="8"/>
  <c r="Z25" i="8" s="1" a="1"/>
  <c r="Z23" i="8" s="1" a="1"/>
  <c r="C23" i="8"/>
  <c r="D23" i="8"/>
  <c r="D17" i="8"/>
  <c r="C17" i="8"/>
  <c r="F19" i="8"/>
  <c r="AC19" i="8" s="1" a="1"/>
  <c r="AB163" i="8" a="1"/>
  <c r="AB161" i="8" s="1" a="1"/>
  <c r="V163" i="8" a="1"/>
  <c r="V161" i="8" s="1" a="1"/>
  <c r="AA163" i="8" a="1"/>
  <c r="AA161" i="8" s="1" a="1"/>
  <c r="U163" i="8" a="1"/>
  <c r="U161" i="8" s="1" a="1"/>
  <c r="AC163" i="8" a="1"/>
  <c r="AC161" i="8" s="1" a="1"/>
  <c r="E163" i="8" a="1"/>
  <c r="E161" i="8" s="1" a="1"/>
  <c r="Z163" i="8" a="1"/>
  <c r="Z161" i="8" s="1" a="1"/>
  <c r="AE163" i="8" a="1"/>
  <c r="AE161" i="8" s="1" a="1"/>
  <c r="AD163" i="8" a="1"/>
  <c r="AD161" i="8" s="1" a="1"/>
  <c r="Y163" i="8" a="1"/>
  <c r="Y161" i="8" s="1" a="1"/>
  <c r="X163" i="8" a="1"/>
  <c r="X161" i="8" s="1" a="1"/>
  <c r="W163" i="8" a="1"/>
  <c r="W161" i="8" s="1" a="1"/>
  <c r="AF163" i="8" a="1"/>
  <c r="AF161" i="8" s="1" a="1"/>
  <c r="F163" i="8"/>
  <c r="D161" i="8"/>
  <c r="C161" i="8"/>
  <c r="X46" i="8" l="1" a="1"/>
  <c r="X44" i="8" s="1" a="1"/>
  <c r="Y46" i="8" a="1"/>
  <c r="Y44" i="8" s="1" a="1"/>
  <c r="AC46" i="8" a="1"/>
  <c r="AC44" i="8" s="1" a="1"/>
  <c r="W46" i="8" a="1"/>
  <c r="W44" i="8" s="1" a="1"/>
  <c r="V46" i="8" a="1"/>
  <c r="V44" i="8" s="1" a="1"/>
  <c r="AA46" i="8" a="1"/>
  <c r="AA44" i="8" s="1" a="1"/>
  <c r="E46" i="8" a="1"/>
  <c r="E44" i="8" s="1" a="1"/>
  <c r="Z46" i="8" a="1"/>
  <c r="Z44" i="8" s="1" a="1"/>
  <c r="AE46" i="8" a="1"/>
  <c r="AE44" i="8" s="1" a="1"/>
  <c r="AB46" i="8" a="1"/>
  <c r="AB44" i="8" s="1" a="1"/>
  <c r="U46" i="8" a="1"/>
  <c r="U44" i="8" s="1" a="1"/>
  <c r="AD46" i="8" a="1"/>
  <c r="AD44" i="8" s="1" a="1"/>
  <c r="AF46" i="8" a="1"/>
  <c r="AF44" i="8" s="1" a="1"/>
  <c r="X49" i="8" a="1"/>
  <c r="X47" i="8" s="1" a="1"/>
  <c r="U49" i="8" a="1"/>
  <c r="U47" i="8" s="1" a="1"/>
  <c r="V49" i="8" a="1"/>
  <c r="V47" i="8" s="1" a="1"/>
  <c r="AA49" i="8" a="1"/>
  <c r="AA47" i="8" s="1" a="1"/>
  <c r="U37" i="8" a="1"/>
  <c r="U35" i="8" s="1" a="1"/>
  <c r="A11" i="12"/>
  <c r="P11" i="12" s="1"/>
  <c r="O11" i="12" s="1"/>
  <c r="AF49" i="8" a="1"/>
  <c r="AF47" i="8" s="1" a="1"/>
  <c r="AE49" i="8" a="1"/>
  <c r="AE47" i="8" s="1" a="1"/>
  <c r="AB49" i="8" a="1"/>
  <c r="AB47" i="8" s="1" a="1"/>
  <c r="W49" i="8" a="1"/>
  <c r="W47" i="8" s="1" a="1"/>
  <c r="AB43" i="8" a="1"/>
  <c r="AB41" i="8" s="1" a="1"/>
  <c r="Y43" i="8" a="1"/>
  <c r="Y41" i="8" s="1" a="1"/>
  <c r="Z31" i="8" a="1"/>
  <c r="Z29" i="8" s="1" a="1"/>
  <c r="U31" i="8" a="1"/>
  <c r="U29" i="8" s="1" a="1"/>
  <c r="AE43" i="8" a="1"/>
  <c r="AE41" i="8" s="1" a="1"/>
  <c r="X43" i="8" a="1"/>
  <c r="X41" i="8" s="1" a="1"/>
  <c r="Z49" i="8" a="1"/>
  <c r="Z47" i="8" s="1" a="1"/>
  <c r="Y49" i="8" a="1"/>
  <c r="Y47" i="8" s="1" a="1"/>
  <c r="E49" i="8" a="1"/>
  <c r="E47" i="8" s="1" a="1"/>
  <c r="AD49" i="8" a="1"/>
  <c r="AD47" i="8" s="1" a="1"/>
  <c r="Z43" i="8" a="1"/>
  <c r="Z41" i="8" s="1" a="1"/>
  <c r="W43" i="8" a="1"/>
  <c r="W41" i="8" s="1" a="1"/>
  <c r="AF37" i="8" a="1"/>
  <c r="AF35" i="8" s="1" a="1"/>
  <c r="AC40" i="8" a="1"/>
  <c r="AC38" i="8" s="1" a="1"/>
  <c r="Z40" i="8" a="1"/>
  <c r="Z38" i="8" s="1" a="1"/>
  <c r="AF40" i="8" a="1"/>
  <c r="AF38" i="8" s="1" a="1"/>
  <c r="AD40" i="8" a="1"/>
  <c r="AD38" i="8" s="1" a="1"/>
  <c r="U40" i="8" a="1"/>
  <c r="U38" i="8" s="1" a="1"/>
  <c r="AC43" i="8" a="1"/>
  <c r="AC41" i="8" s="1" a="1"/>
  <c r="AF43" i="8" a="1"/>
  <c r="AF41" i="8" s="1" a="1"/>
  <c r="U43" i="8" a="1"/>
  <c r="U41" i="8" s="1" a="1"/>
  <c r="AA43" i="8" a="1"/>
  <c r="AA41" i="8" s="1" a="1"/>
  <c r="AD43" i="8" a="1"/>
  <c r="AD41" i="8" s="1" a="1"/>
  <c r="AA31" i="8" a="1"/>
  <c r="AA29" i="8" s="1" a="1"/>
  <c r="E43" i="8" a="1"/>
  <c r="E41" i="8" s="1" a="1"/>
  <c r="E37" i="8" a="1"/>
  <c r="E35" i="8" s="1" a="1"/>
  <c r="V31" i="8" a="1"/>
  <c r="V29" i="8" s="1" a="1"/>
  <c r="X31" i="8" a="1"/>
  <c r="X29" i="8" s="1" a="1"/>
  <c r="AE31" i="8" a="1"/>
  <c r="AE29" i="8" s="1" a="1"/>
  <c r="AB31" i="8" a="1"/>
  <c r="AB29" i="8" s="1" a="1"/>
  <c r="W37" i="8" a="1"/>
  <c r="W35" i="8" s="1" a="1"/>
  <c r="AB37" i="8" a="1"/>
  <c r="AB35" i="8" s="1" a="1"/>
  <c r="V40" i="8" a="1"/>
  <c r="V38" i="8" s="1" a="1"/>
  <c r="E40" i="8" a="1"/>
  <c r="E38" i="8" s="1" a="1"/>
  <c r="AB40" i="8" a="1"/>
  <c r="AB38" i="8" s="1" a="1"/>
  <c r="Y40" i="8" a="1"/>
  <c r="Y38" i="8" s="1" a="1"/>
  <c r="X40" i="8" a="1"/>
  <c r="X38" i="8" s="1" a="1"/>
  <c r="AA40" i="8" a="1"/>
  <c r="AA38" i="8" s="1" a="1"/>
  <c r="AE40" i="8" a="1"/>
  <c r="AE38" i="8" s="1" a="1"/>
  <c r="AD28" i="8" a="1"/>
  <c r="AD26" i="8" s="1" a="1"/>
  <c r="Y28" i="8" a="1"/>
  <c r="Y26" i="8" s="1" a="1"/>
  <c r="AF28" i="8" a="1"/>
  <c r="AF26" i="8" s="1" a="1"/>
  <c r="E28" i="8" a="1"/>
  <c r="E26" i="8" s="1" a="1"/>
  <c r="Z28" i="8" a="1"/>
  <c r="Z26" i="8" s="1" a="1"/>
  <c r="AB28" i="8" a="1"/>
  <c r="AB26" i="8" s="1" a="1"/>
  <c r="U28" i="8" a="1"/>
  <c r="U26" i="8" s="1" a="1"/>
  <c r="X28" i="8" a="1"/>
  <c r="X26" i="8" s="1" a="1"/>
  <c r="AE28" i="8" a="1"/>
  <c r="AE26" i="8" s="1" a="1"/>
  <c r="W28" i="8" a="1"/>
  <c r="W26" i="8" s="1" a="1"/>
  <c r="AC28" i="8" a="1"/>
  <c r="AC26" i="8" s="1" a="1"/>
  <c r="W31" i="8" a="1"/>
  <c r="W29" i="8" s="1" a="1"/>
  <c r="Z37" i="8" a="1"/>
  <c r="Z35" i="8" s="1" a="1"/>
  <c r="Y37" i="8" a="1"/>
  <c r="Y35" i="8" s="1" a="1"/>
  <c r="V37" i="8" a="1"/>
  <c r="V35" i="8" s="1" a="1"/>
  <c r="AA37" i="8" a="1"/>
  <c r="AA35" i="8" s="1" a="1"/>
  <c r="X37" i="8" a="1"/>
  <c r="X35" i="8" s="1" a="1"/>
  <c r="AC37" i="8" a="1"/>
  <c r="AC35" i="8" s="1" a="1"/>
  <c r="AE37" i="8" a="1"/>
  <c r="AE35" i="8" s="1" a="1"/>
  <c r="AD37" i="8" a="1"/>
  <c r="AD35" i="8" s="1" a="1"/>
  <c r="AD25" i="8" a="1"/>
  <c r="AD23" i="8" s="1" a="1"/>
  <c r="AF31" i="8" a="1"/>
  <c r="AF29" i="8" s="1" a="1"/>
  <c r="AC31" i="8" a="1"/>
  <c r="AC29" i="8" s="1" a="1"/>
  <c r="E31" i="8" a="1"/>
  <c r="E29" i="8" s="1" a="1"/>
  <c r="AD34" i="8" a="1"/>
  <c r="AD32" i="8" s="1" a="1"/>
  <c r="U34" i="8" a="1"/>
  <c r="U32" i="8" s="1" a="1"/>
  <c r="AF34" i="8" a="1"/>
  <c r="AF32" i="8" s="1" a="1"/>
  <c r="W34" i="8" a="1"/>
  <c r="W32" i="8" s="1" a="1"/>
  <c r="AB34" i="8" a="1"/>
  <c r="AB32" i="8" s="1" a="1"/>
  <c r="E34" i="8" a="1"/>
  <c r="E32" i="8" s="1" a="1"/>
  <c r="Z34" i="8" a="1"/>
  <c r="Z32" i="8" s="1" a="1"/>
  <c r="Y34" i="8" a="1"/>
  <c r="Y32" i="8" s="1" a="1"/>
  <c r="V34" i="8" a="1"/>
  <c r="V32" i="8" s="1" a="1"/>
  <c r="AA34" i="8" a="1"/>
  <c r="AA32" i="8" s="1" a="1"/>
  <c r="X34" i="8" a="1"/>
  <c r="X32" i="8" s="1" a="1"/>
  <c r="AC34" i="8" a="1"/>
  <c r="AC32" i="8" s="1" a="1"/>
  <c r="AB25" i="8" a="1"/>
  <c r="AB23" i="8" s="1" a="1"/>
  <c r="AE34" i="8" a="1"/>
  <c r="AE32" i="8" s="1" a="1"/>
  <c r="U25" i="8" a="1"/>
  <c r="U23" i="8" s="1" a="1"/>
  <c r="V25" i="8" a="1"/>
  <c r="V23" i="8" s="1" a="1"/>
  <c r="AE25" i="8" a="1"/>
  <c r="AE23" i="8" s="1" a="1"/>
  <c r="X25" i="8" a="1"/>
  <c r="X23" i="8" s="1" a="1"/>
  <c r="W25" i="8" a="1"/>
  <c r="W23" i="8" s="1" a="1"/>
  <c r="AF25" i="8" a="1"/>
  <c r="AF23" i="8" s="1" a="1"/>
  <c r="Y31" i="8" a="1"/>
  <c r="Y29" i="8" s="1" a="1"/>
  <c r="AA28" i="8" a="1"/>
  <c r="AA26" i="8" s="1" a="1"/>
  <c r="E25" i="8" a="1"/>
  <c r="E23" i="8" s="1" a="1"/>
  <c r="AA25" i="8" a="1"/>
  <c r="AA23" i="8" s="1" a="1"/>
  <c r="W19" i="8" a="1"/>
  <c r="W17" i="8" s="1" a="1"/>
  <c r="Y19" i="8" a="1"/>
  <c r="Y17" i="8" s="1" a="1"/>
  <c r="AC25" i="8" a="1"/>
  <c r="AC23" i="8" s="1" a="1"/>
  <c r="AE19" i="8" a="1"/>
  <c r="AE17" i="8" s="1" a="1"/>
  <c r="X19" i="8" a="1"/>
  <c r="X17" i="8" s="1" a="1"/>
  <c r="Y25" i="8" a="1"/>
  <c r="Y23" i="8" s="1" a="1"/>
  <c r="AC22" i="8" a="1"/>
  <c r="AC20" i="8" s="1" a="1"/>
  <c r="E22" i="8" a="1"/>
  <c r="E20" i="8" s="1" a="1"/>
  <c r="AB19" i="8" a="1"/>
  <c r="AB17" i="8" s="1" a="1"/>
  <c r="AF22" i="8" a="1"/>
  <c r="AF20" i="8" s="1" a="1"/>
  <c r="Y22" i="8" a="1"/>
  <c r="Y20" i="8" s="1" a="1"/>
  <c r="X22" i="8" a="1"/>
  <c r="X20" i="8" s="1" a="1"/>
  <c r="V22" i="8" a="1"/>
  <c r="V20" i="8" s="1" a="1"/>
  <c r="Z22" i="8" a="1"/>
  <c r="Z20" i="8" s="1" a="1"/>
  <c r="AE22" i="8" a="1"/>
  <c r="AE20" i="8" s="1" a="1"/>
  <c r="W22" i="8" a="1"/>
  <c r="W20" i="8" s="1" a="1"/>
  <c r="AD22" i="8" a="1"/>
  <c r="AD20" i="8" s="1" a="1"/>
  <c r="U22" i="8" a="1"/>
  <c r="U20" i="8" s="1" a="1"/>
  <c r="AB22" i="8" a="1"/>
  <c r="AB20" i="8" s="1" a="1"/>
  <c r="AF19" i="8" a="1"/>
  <c r="E19" i="8" a="1"/>
  <c r="U19" i="8" a="1"/>
  <c r="AD19" i="8" a="1"/>
  <c r="Z19" i="8" a="1"/>
  <c r="V19" i="8" a="1"/>
  <c r="AA19" i="8" a="1"/>
  <c r="AC17" i="8" a="1"/>
  <c r="Z16" i="8" l="1" a="1"/>
  <c r="Z14" i="8" s="1" a="1"/>
  <c r="AC16" i="8" a="1"/>
  <c r="AC14" i="8" s="1" a="1"/>
  <c r="AF16" i="8" a="1"/>
  <c r="AF14" i="8" s="1" a="1"/>
  <c r="Y16" i="8" a="1"/>
  <c r="Y14" i="8" s="1" a="1"/>
  <c r="AE16" i="8" a="1"/>
  <c r="AE14" i="8" s="1" a="1"/>
  <c r="U16" i="8" a="1"/>
  <c r="U14" i="8" s="1" a="1"/>
  <c r="AB16" i="8" a="1"/>
  <c r="AB14" i="8" s="1" a="1"/>
  <c r="W16" i="8" a="1"/>
  <c r="W14" i="8" s="1" a="1"/>
  <c r="AD16" i="8" a="1"/>
  <c r="AD14" i="8" s="1" a="1"/>
  <c r="X16" i="8" a="1"/>
  <c r="X14" i="8" s="1" a="1"/>
  <c r="AF17" i="8" a="1"/>
  <c r="AD17" i="8" a="1"/>
  <c r="Z17" i="8" a="1"/>
  <c r="U17" i="8" a="1"/>
  <c r="AA16" i="8" a="1"/>
  <c r="AA14" i="8" s="1" a="1"/>
  <c r="AA17" i="8" a="1"/>
  <c r="V16" i="8" a="1"/>
  <c r="V17" i="8" a="1"/>
  <c r="E16" i="8" a="1"/>
  <c r="E17" i="8" a="1"/>
  <c r="U174" i="8" l="1"/>
  <c r="U170" i="8" s="1"/>
  <c r="E172" i="8" a="1"/>
  <c r="E167" i="8" s="1"/>
  <c r="E14" i="8" a="1"/>
  <c r="E174" i="8"/>
  <c r="E173" i="8" a="1"/>
  <c r="E168" i="8" s="1"/>
  <c r="U172" i="8" a="1"/>
  <c r="U173" i="8" a="1"/>
  <c r="V14" i="8" a="1"/>
  <c r="H70" i="9" l="1"/>
  <c r="H73" i="9" s="1"/>
  <c r="U176" i="8"/>
  <c r="H71" i="9"/>
  <c r="V174" i="8"/>
  <c r="J71" i="9" s="1"/>
  <c r="U169" i="8"/>
  <c r="V173" i="8" a="1"/>
  <c r="U168" i="8"/>
  <c r="U171" i="8"/>
  <c r="U166" i="8" s="1"/>
  <c r="V172" i="8" a="1"/>
  <c r="U167" i="8"/>
  <c r="E170" i="8"/>
  <c r="E175" i="8" s="1"/>
  <c r="E169" i="8"/>
  <c r="E165" i="8" s="1"/>
  <c r="E171" i="8"/>
  <c r="E166" i="8" s="1"/>
  <c r="W174" i="8" l="1"/>
  <c r="L71" i="9" s="1"/>
  <c r="V170" i="8"/>
  <c r="V169" i="8"/>
  <c r="V165" i="8" s="1"/>
  <c r="J68" i="9" s="1"/>
  <c r="H69" i="9"/>
  <c r="U165" i="8"/>
  <c r="H68" i="9" s="1"/>
  <c r="V167" i="8"/>
  <c r="W172" i="8" a="1"/>
  <c r="W173" i="8" a="1"/>
  <c r="V168" i="8"/>
  <c r="V171" i="8"/>
  <c r="V166" i="8" s="1"/>
  <c r="J70" i="9" l="1"/>
  <c r="J73" i="9" s="1"/>
  <c r="V176" i="8"/>
  <c r="J69" i="9"/>
  <c r="X174" i="8"/>
  <c r="X170" i="8" s="1"/>
  <c r="W169" i="8"/>
  <c r="W170" i="8"/>
  <c r="W171" i="8"/>
  <c r="W166" i="8" s="1"/>
  <c r="X172" i="8" a="1"/>
  <c r="W167" i="8"/>
  <c r="X173" i="8" a="1"/>
  <c r="W168" i="8"/>
  <c r="W165" i="8" l="1"/>
  <c r="L68" i="9" s="1"/>
  <c r="L69" i="9"/>
  <c r="L70" i="9"/>
  <c r="L73" i="9" s="1"/>
  <c r="W176" i="8"/>
  <c r="N70" i="9"/>
  <c r="N73" i="9" s="1"/>
  <c r="X176" i="8"/>
  <c r="Y174" i="8"/>
  <c r="Y170" i="8" s="1"/>
  <c r="X169" i="8"/>
  <c r="X165" i="8" s="1"/>
  <c r="N68" i="9" s="1"/>
  <c r="N71" i="9"/>
  <c r="Y173" i="8" a="1"/>
  <c r="X168" i="8"/>
  <c r="Y172" i="8" a="1"/>
  <c r="X167" i="8"/>
  <c r="X171" i="8"/>
  <c r="X166" i="8" s="1"/>
  <c r="P70" i="9" l="1"/>
  <c r="P73" i="9" s="1"/>
  <c r="Y176" i="8"/>
  <c r="N69" i="9"/>
  <c r="Z174" i="8"/>
  <c r="Z170" i="8" s="1"/>
  <c r="P71" i="9"/>
  <c r="Y169" i="8"/>
  <c r="Y165" i="8" s="1"/>
  <c r="P68" i="9" s="1"/>
  <c r="Y171" i="8"/>
  <c r="Y166" i="8" s="1"/>
  <c r="Z172" i="8" a="1"/>
  <c r="Y167" i="8"/>
  <c r="Y168" i="8"/>
  <c r="Z173" i="8" a="1"/>
  <c r="R70" i="9" l="1"/>
  <c r="R73" i="9" s="1"/>
  <c r="Z176" i="8"/>
  <c r="P69" i="9"/>
  <c r="AA174" i="8"/>
  <c r="AA170" i="8" s="1"/>
  <c r="R71" i="9"/>
  <c r="Z169" i="8"/>
  <c r="Z165" i="8" s="1"/>
  <c r="R68" i="9" s="1"/>
  <c r="AA173" i="8" a="1"/>
  <c r="Z171" i="8"/>
  <c r="Z166" i="8" s="1"/>
  <c r="Z168" i="8"/>
  <c r="AA172" i="8" a="1"/>
  <c r="Z167" i="8"/>
  <c r="T70" i="9" l="1"/>
  <c r="T73" i="9" s="1"/>
  <c r="AA176" i="8"/>
  <c r="R69" i="9"/>
  <c r="AB174" i="8"/>
  <c r="AB170" i="8" s="1"/>
  <c r="T71" i="9"/>
  <c r="AA169" i="8"/>
  <c r="AA171" i="8"/>
  <c r="AA166" i="8" s="1"/>
  <c r="AA167" i="8"/>
  <c r="AB172" i="8" a="1"/>
  <c r="AA168" i="8"/>
  <c r="AB173" i="8" a="1"/>
  <c r="AA165" i="8" l="1"/>
  <c r="T68" i="9" s="1"/>
  <c r="T69" i="9"/>
  <c r="V70" i="9"/>
  <c r="V73" i="9" s="1"/>
  <c r="AB176" i="8"/>
  <c r="V71" i="9"/>
  <c r="AC174" i="8"/>
  <c r="AC170" i="8" s="1"/>
  <c r="AB169" i="8"/>
  <c r="AC173" i="8" a="1"/>
  <c r="AB168" i="8"/>
  <c r="AB167" i="8"/>
  <c r="AC172" i="8" a="1"/>
  <c r="AB171" i="8"/>
  <c r="AB166" i="8" s="1"/>
  <c r="AB165" i="8" l="1"/>
  <c r="V68" i="9" s="1"/>
  <c r="V69" i="9"/>
  <c r="X70" i="9"/>
  <c r="X73" i="9" s="1"/>
  <c r="AC176" i="8"/>
  <c r="AD174" i="8"/>
  <c r="AD170" i="8" s="1"/>
  <c r="AC169" i="8"/>
  <c r="X71" i="9"/>
  <c r="AC168" i="8"/>
  <c r="AD173" i="8" a="1"/>
  <c r="AC167" i="8"/>
  <c r="AD172" i="8" a="1"/>
  <c r="AC171" i="8"/>
  <c r="AC166" i="8" s="1"/>
  <c r="AC165" i="8" l="1"/>
  <c r="X68" i="9" s="1"/>
  <c r="X69" i="9"/>
  <c r="Z70" i="9"/>
  <c r="Z73" i="9" s="1"/>
  <c r="AD176" i="8"/>
  <c r="AE174" i="8"/>
  <c r="AB71" i="9" s="1"/>
  <c r="Z71" i="9"/>
  <c r="AD169" i="8"/>
  <c r="AD171" i="8"/>
  <c r="AD166" i="8" s="1"/>
  <c r="AE172" i="8" a="1"/>
  <c r="AD167" i="8"/>
  <c r="AE173" i="8" a="1"/>
  <c r="AD168" i="8"/>
  <c r="AD165" i="8" l="1"/>
  <c r="Z68" i="9" s="1"/>
  <c r="Z69" i="9"/>
  <c r="AF174" i="8"/>
  <c r="AE170" i="8"/>
  <c r="AE169" i="8"/>
  <c r="AE171" i="8"/>
  <c r="AE166" i="8" s="1"/>
  <c r="AF173" i="8" a="1"/>
  <c r="AF168" i="8" s="1"/>
  <c r="AE168" i="8"/>
  <c r="AF172" i="8" a="1"/>
  <c r="AF167" i="8" s="1"/>
  <c r="AE167" i="8"/>
  <c r="AE176" i="8" l="1"/>
  <c r="AB70" i="9"/>
  <c r="AB73" i="9" s="1"/>
  <c r="AD71" i="9"/>
  <c r="K10" i="8" a="1"/>
  <c r="AE165" i="8"/>
  <c r="AB68" i="9" s="1"/>
  <c r="AB69" i="9"/>
  <c r="B6" i="9" a="1"/>
  <c r="M13" i="9" s="1"/>
  <c r="AF170" i="8"/>
  <c r="AF176" i="8" s="1"/>
  <c r="AF169" i="8"/>
  <c r="AF171" i="8"/>
  <c r="AF166" i="8" s="1"/>
  <c r="T176" i="8" l="1"/>
  <c r="AF165" i="8"/>
  <c r="AD68" i="9" s="1"/>
  <c r="AD69" i="9"/>
  <c r="AD70" i="9"/>
  <c r="AD73" i="9" s="1"/>
  <c r="G73" i="9" s="1"/>
  <c r="F11" i="8" a="1"/>
  <c r="G43" i="6"/>
  <c r="F43" i="12" l="1" a="1"/>
  <c r="G33" i="6"/>
  <c r="F33" i="12" a="1"/>
  <c r="F35" i="12" a="1"/>
  <c r="G35" i="6"/>
  <c r="G34" i="6"/>
  <c r="F34" i="12" a="1"/>
  <c r="G32" i="6"/>
  <c r="F32" i="12" a="1"/>
  <c r="F29" i="12" a="1"/>
  <c r="G29" i="6"/>
  <c r="F31" i="12" a="1"/>
  <c r="G31" i="6"/>
  <c r="AF19" i="5" l="1" a="1"/>
  <c r="AF23" i="5" a="1"/>
  <c r="AF22" i="5" a="1"/>
  <c r="AF29" i="5" a="1"/>
  <c r="AF31" i="5" a="1"/>
  <c r="AF35" i="5" a="1"/>
  <c r="AF40" i="5" a="1"/>
  <c r="AF33" i="5" a="1"/>
  <c r="AF34" i="5" a="1"/>
  <c r="AF18" i="5" a="1"/>
  <c r="AF39" i="5" a="1"/>
  <c r="AF43" i="5" a="1"/>
  <c r="AF24" i="5" a="1"/>
  <c r="AF32" i="5" a="1"/>
  <c r="AF38" i="5" a="1"/>
  <c r="S38" i="5" l="1" a="1"/>
  <c r="R35" i="5" a="1"/>
  <c r="AG19" i="5" a="1"/>
  <c r="R40" i="5" a="1"/>
  <c r="AG23" i="5" a="1"/>
  <c r="AG32" i="5" a="1"/>
  <c r="AG18" i="5" a="1"/>
  <c r="R34" i="5" a="1"/>
  <c r="R33" i="5" a="1"/>
  <c r="AG29" i="5" a="1"/>
  <c r="R43" i="5" a="1"/>
  <c r="AG31" i="5" a="1"/>
  <c r="AG40" i="5" a="1"/>
  <c r="AG24" i="5" a="1"/>
  <c r="R23" i="5" a="1"/>
  <c r="AG38" i="5" a="1"/>
  <c r="R32" i="5" a="1"/>
  <c r="S22" i="5" a="1"/>
  <c r="R19" i="5" a="1"/>
  <c r="AG39" i="5" a="1"/>
  <c r="R29" i="5" a="1"/>
  <c r="R22" i="5" a="1"/>
  <c r="AG34" i="5" a="1"/>
  <c r="R39" i="5" a="1"/>
  <c r="S40" i="5" a="1"/>
  <c r="S24" i="5" a="1"/>
  <c r="R24" i="5" a="1"/>
  <c r="AG35" i="5" a="1"/>
  <c r="R18" i="5" a="1"/>
  <c r="R31" i="5" a="1"/>
  <c r="AG22" i="5" a="1"/>
  <c r="AG33" i="5" a="1"/>
  <c r="R38" i="5" a="1"/>
  <c r="S39" i="5" a="1"/>
  <c r="AG43" i="5" a="1"/>
  <c r="G19" i="6"/>
  <c r="G18" i="6"/>
  <c r="F32" i="6" s="1"/>
  <c r="E23" i="12" s="1"/>
  <c r="G39" i="6" s="1"/>
  <c r="F38" i="12" s="1" a="1"/>
  <c r="E24" i="12" s="1"/>
  <c r="E33" i="12" s="1"/>
  <c r="F40" i="6" s="1"/>
  <c r="G24" i="6" s="1"/>
  <c r="F40" i="12" s="1" a="1"/>
  <c r="F29" i="6" s="1"/>
  <c r="E43" i="12" s="1"/>
  <c r="F22" i="6" l="1"/>
  <c r="F22" i="12" s="1" a="1"/>
  <c r="E38" i="12"/>
  <c r="E34" i="12" s="1"/>
  <c r="F31" i="6" s="1"/>
  <c r="F23" i="12" a="1"/>
  <c r="G23" i="6"/>
  <c r="E18" i="12"/>
  <c r="F18" i="6"/>
  <c r="F23" i="6"/>
  <c r="E31" i="12"/>
  <c r="AC31" i="5" a="1"/>
  <c r="J31" i="6" s="1" a="1"/>
  <c r="AC23" i="5" a="1"/>
  <c r="J23" i="6" s="1" a="1"/>
  <c r="F24" i="6"/>
  <c r="G40" i="6"/>
  <c r="F38" i="6"/>
  <c r="E22" i="12"/>
  <c r="AC24" i="5" a="1"/>
  <c r="J24" i="6" s="1" a="1"/>
  <c r="E32" i="12"/>
  <c r="AC35" i="5" a="1"/>
  <c r="J35" i="6" s="1" a="1"/>
  <c r="F24" i="12" a="1"/>
  <c r="AC32" i="5" a="1"/>
  <c r="J32" i="6" s="1" a="1"/>
  <c r="F43" i="6"/>
  <c r="AC19" i="5" a="1"/>
  <c r="J19" i="6" s="1" a="1"/>
  <c r="G22" i="6"/>
  <c r="AC39" i="5" a="1"/>
  <c r="J39" i="6" s="1" a="1"/>
  <c r="AC22" i="5" a="1"/>
  <c r="J22" i="6" s="1" a="1"/>
  <c r="AC18" i="5" a="1"/>
  <c r="J18" i="6" s="1" a="1"/>
  <c r="F19" i="12" a="1"/>
  <c r="E19" i="12"/>
  <c r="AC43" i="5" a="1"/>
  <c r="J43" i="6" s="1" a="1"/>
  <c r="E40" i="12"/>
  <c r="E35" i="12"/>
  <c r="F33" i="6"/>
  <c r="F18" i="12" a="1"/>
  <c r="AC40" i="5" a="1"/>
  <c r="J40" i="6" s="1" a="1"/>
  <c r="F35" i="6"/>
  <c r="F34" i="6"/>
  <c r="AC34" i="5" a="1"/>
  <c r="J34" i="6" s="1" a="1"/>
  <c r="AC33" i="5" a="1"/>
  <c r="J33" i="6" s="1" a="1"/>
  <c r="F39" i="12" a="1"/>
  <c r="AC29" i="5" a="1"/>
  <c r="J29" i="6" s="1" a="1"/>
  <c r="F39" i="6"/>
  <c r="E29" i="12"/>
  <c r="F19" i="6"/>
  <c r="E39" i="12"/>
  <c r="AC38" i="5" a="1"/>
  <c r="J38" i="6" s="1" a="1"/>
  <c r="G38" i="6"/>
  <c r="AC7" i="5" l="1"/>
  <c r="AC11" i="5"/>
  <c r="O12" i="5" a="1"/>
  <c r="F11" i="6" l="1"/>
  <c r="I12" i="6"/>
  <c r="N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<sst xmlns="http://schemas.openxmlformats.org/spreadsheetml/2006/main" count="1952" uniqueCount="1047">
  <si>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</si>
  <si>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</si>
  <si>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</si>
  <si>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</si>
  <si>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</si>
  <si>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</si>
  <si>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</si>
  <si>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</si>
  <si>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</si>
  <si>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</si>
  <si>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</si>
  <si>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</si>
  <si>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</si>
  <si>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</si>
  <si>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</si>
  <si>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</si>
  <si>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</si>
  <si>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</si>
  <si>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</si>
  <si>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</si>
  <si>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</si>
  <si>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</si>
  <si>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</si>
  <si>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</si>
  <si>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</si>
  <si>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</si>
  <si>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</si>
  <si>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</si>
  <si>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</si>
  <si>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</si>
  <si>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</si>
  <si>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</si>
  <si>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</si>
  <si>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</si>
  <si>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</si>
  <si>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</si>
  <si>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</si>
  <si>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</si>
  <si>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</si>
  <si>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</si>
  <si>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</si>
  <si>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</si>
  <si>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</si>
  <si>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</si>
  <si>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</si>
  <si>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</si>
  <si>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</si>
  <si>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</si>
  <si>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</si>
  <si>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</si>
  <si>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</si>
  <si>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</si>
  <si>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</si>
  <si>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</si>
  <si>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</si>
  <si>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</si>
  <si>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</si>
  <si>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</si>
  <si>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</si>
  <si>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</si>
  <si>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</si>
  <si>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</si>
  <si>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</si>
  <si>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</si>
  <si>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</si>
  <si>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</si>
  <si>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</si>
  <si>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</si>
  <si>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</si>
  <si>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</si>
  <si>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</si>
  <si>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</si>
  <si>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</si>
  <si>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</si>
  <si>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</si>
  <si>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</si>
  <si>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</si>
  <si>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</si>
  <si>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</si>
  <si>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</si>
  <si>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</si>
  <si>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</si>
  <si>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</si>
  <si>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</si>
  <si>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</si>
  <si>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</si>
  <si>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</si>
  <si>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</si>
  <si>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</si>
  <si>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</si>
  <si>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</si>
  <si>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</si>
  <si>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</si>
  <si>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</si>
  <si>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</si>
  <si>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</si>
  <si>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</si>
  <si>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</si>
  <si>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</si>
  <si>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</si>
  <si>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</si>
  <si>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</si>
  <si>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</si>
  <si>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</si>
  <si>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</si>
  <si>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</si>
  <si>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</si>
  <si>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</si>
  <si>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</si>
  <si>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</si>
  <si>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</si>
  <si>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</si>
  <si>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</si>
  <si>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</si>
  <si>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</si>
  <si>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</si>
  <si>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</si>
  <si>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</si>
  <si>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</si>
  <si>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</si>
  <si>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</si>
  <si>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</si>
  <si>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</si>
  <si>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</si>
  <si>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</si>
  <si>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</si>
  <si>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</si>
  <si>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</si>
  <si>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</si>
  <si>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</si>
  <si>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</si>
  <si>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</si>
  <si>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</si>
  <si>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</si>
  <si>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</si>
  <si>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</si>
  <si>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</si>
  <si>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</si>
  <si>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</si>
  <si>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</si>
  <si>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</si>
  <si>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</si>
  <si>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</si>
  <si>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</si>
  <si>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</si>
  <si>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</si>
  <si>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</si>
  <si>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</si>
  <si>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</si>
  <si>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</si>
  <si>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</si>
  <si>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</si>
  <si>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</si>
  <si>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</si>
  <si>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</si>
  <si>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</si>
  <si>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</si>
  <si>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</si>
  <si>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</si>
  <si>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</si>
  <si>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</si>
  <si>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</si>
  <si>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</si>
  <si>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</si>
  <si>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</si>
  <si>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</si>
  <si>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</si>
  <si>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</si>
  <si>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</si>
  <si>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</si>
  <si>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</si>
  <si>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</si>
  <si>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</si>
  <si>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</si>
  <si>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</si>
  <si>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</si>
  <si>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</si>
  <si>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</si>
  <si>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</si>
  <si>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</si>
  <si>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</si>
  <si>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</si>
  <si>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</si>
  <si>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</si>
  <si>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</si>
  <si>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</si>
  <si>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</si>
  <si>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</si>
  <si>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</si>
  <si>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</si>
  <si>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</si>
  <si>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</si>
  <si>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</si>
  <si>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</si>
  <si>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</si>
  <si>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</si>
  <si>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</si>
  <si>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</si>
  <si>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</si>
  <si>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</si>
  <si>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</si>
  <si>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</si>
  <si>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</si>
  <si>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</si>
  <si>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</si>
  <si>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</si>
  <si>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</si>
  <si>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</si>
  <si>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</si>
  <si>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</si>
  <si>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</si>
  <si>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</si>
  <si>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</si>
  <si>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</si>
  <si>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</si>
  <si>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</si>
  <si>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</si>
  <si>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</si>
  <si>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</si>
  <si>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</si>
  <si>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</si>
  <si>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</si>
  <si>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</si>
  <si>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</si>
  <si>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</si>
  <si>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</si>
  <si>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</si>
  <si>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</si>
  <si>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</si>
  <si>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</si>
  <si>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</si>
  <si>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</si>
  <si>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</si>
  <si>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</si>
  <si>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</si>
  <si>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</si>
  <si>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</si>
  <si>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</si>
  <si>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</si>
  <si>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</si>
  <si>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</si>
  <si>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</si>
  <si>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</si>
  <si>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</si>
  <si>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</si>
  <si>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</si>
  <si>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</si>
  <si>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</si>
  <si>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</si>
  <si>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</si>
  <si>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</si>
  <si>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</si>
  <si>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</si>
  <si>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</si>
  <si>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</si>
  <si>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</si>
  <si>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</si>
  <si>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</si>
  <si>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</si>
  <si>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</si>
  <si>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</si>
  <si>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</si>
  <si>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</si>
  <si>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</si>
  <si>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</si>
  <si>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</si>
  <si>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</si>
  <si>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</si>
  <si>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</si>
  <si>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</si>
  <si>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</si>
  <si>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</si>
  <si>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</si>
  <si>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</si>
  <si>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</si>
  <si>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</si>
  <si>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</si>
  <si>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</si>
  <si>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</si>
  <si>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</si>
  <si>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</si>
  <si>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</si>
  <si>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</si>
  <si>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</si>
  <si>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</si>
  <si>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</si>
  <si>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</si>
  <si>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</si>
  <si>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</si>
  <si>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</si>
  <si>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</si>
  <si>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</si>
  <si>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</si>
  <si>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</si>
  <si>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</si>
  <si>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</si>
  <si>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</si>
  <si>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</si>
  <si>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</si>
  <si>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</si>
  <si>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</si>
  <si>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</si>
  <si>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</si>
  <si>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</si>
  <si>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</si>
  <si>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</si>
  <si>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</si>
  <si>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</si>
  <si>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</si>
  <si>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</si>
  <si>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</si>
  <si>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</si>
  <si>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</si>
  <si>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</si>
  <si>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</si>
  <si>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</si>
  <si>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</si>
  <si>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</si>
  <si>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</si>
  <si>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</si>
  <si>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</si>
  <si>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</si>
  <si>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</si>
  <si>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</si>
  <si>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</si>
  <si>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</si>
  <si>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</si>
  <si>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</si>
  <si>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</si>
  <si>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</si>
  <si>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</si>
  <si>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</si>
  <si>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</si>
  <si>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</si>
  <si>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</si>
  <si>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</si>
  <si>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</si>
  <si>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</si>
  <si>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</si>
  <si>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</si>
  <si>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</si>
  <si>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</si>
  <si>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</si>
  <si>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</si>
  <si>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</si>
  <si>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</si>
  <si>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</si>
  <si>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</si>
  <si>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</si>
  <si>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</si>
  <si>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</si>
  <si>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</si>
  <si>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</si>
  <si>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</si>
  <si>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</si>
  <si>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</si>
  <si>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</si>
  <si>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</si>
  <si>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</si>
  <si>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</si>
  <si>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</si>
  <si>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</si>
  <si>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</si>
  <si>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</si>
  <si>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</si>
  <si>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</si>
  <si>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</si>
  <si>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</si>
  <si>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</si>
  <si>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</si>
  <si>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</si>
  <si>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</si>
  <si>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</si>
  <si>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</si>
  <si>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</si>
  <si>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</si>
  <si>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</si>
  <si>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</si>
  <si>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</si>
  <si>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</si>
  <si>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</si>
  <si>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</si>
  <si>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</si>
  <si>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</si>
  <si>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</si>
  <si>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</si>
  <si>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</si>
  <si>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</si>
  <si>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</si>
  <si>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</si>
  <si>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</si>
  <si>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</si>
  <si>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</si>
  <si>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</si>
  <si>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</si>
  <si>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</si>
  <si>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</si>
  <si>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</si>
  <si>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</si>
  <si>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</si>
  <si>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</si>
  <si>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</si>
  <si>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</si>
  <si>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</si>
  <si>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</si>
  <si>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</si>
  <si>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</si>
  <si>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</si>
  <si>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</si>
  <si>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</si>
  <si>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</si>
  <si>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</si>
  <si>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</si>
  <si>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</si>
  <si>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</si>
  <si>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</si>
  <si>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</si>
  <si>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</si>
  <si>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</si>
  <si>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</si>
  <si>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</si>
  <si>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</si>
  <si>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</si>
  <si>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</si>
  <si>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</si>
  <si>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</si>
  <si>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</si>
  <si>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</si>
  <si>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</si>
  <si>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</si>
  <si>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</si>
  <si>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</si>
  <si>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</si>
  <si>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</si>
  <si>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</si>
  <si>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</si>
  <si>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</si>
  <si>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</si>
  <si>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</si>
  <si>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</si>
  <si>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</si>
  <si>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</si>
  <si>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</si>
  <si>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</si>
  <si>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</si>
  <si>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</si>
  <si>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</si>
  <si>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</si>
  <si>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</si>
  <si>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</si>
  <si>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</si>
  <si>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</si>
  <si>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</si>
  <si>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</si>
  <si>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</si>
  <si>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</si>
  <si>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</si>
  <si>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</si>
  <si>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</si>
  <si>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</si>
  <si>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</si>
  <si>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</si>
  <si>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</si>
  <si>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</si>
  <si>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</si>
  <si>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</si>
  <si>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</si>
  <si>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</si>
  <si>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</si>
  <si>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</si>
  <si>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</si>
  <si>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</si>
  <si>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</si>
  <si>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</si>
  <si>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</si>
  <si>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</si>
  <si>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</si>
  <si>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</si>
  <si>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</si>
  <si>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</si>
  <si>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</si>
  <si>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</si>
  <si>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</si>
  <si>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</si>
  <si>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</si>
  <si>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</si>
  <si>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</si>
  <si>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</si>
  <si>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</si>
  <si>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</si>
  <si>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</si>
  <si>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</si>
  <si>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</si>
  <si>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</si>
  <si>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</si>
  <si>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</si>
  <si>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</si>
  <si>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</si>
  <si>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</si>
  <si>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</si>
  <si>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</si>
  <si>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</si>
  <si>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</si>
  <si>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</si>
  <si>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</si>
  <si>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</si>
  <si>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</si>
  <si>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</si>
  <si>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</si>
  <si>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</si>
  <si>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</si>
  <si>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</si>
  <si>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</si>
  <si>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</si>
  <si>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</si>
  <si>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</si>
  <si>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</si>
  <si>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</si>
  <si>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</si>
  <si>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</si>
  <si>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</si>
  <si>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</si>
  <si>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</si>
  <si>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</si>
  <si>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</si>
  <si>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</si>
  <si>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</si>
  <si>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</si>
  <si>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</si>
  <si>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</si>
  <si>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</si>
  <si>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</si>
  <si>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</si>
  <si>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</si>
  <si>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</si>
  <si>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</si>
  <si>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</si>
  <si>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</si>
  <si>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</si>
  <si>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</si>
  <si>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</si>
  <si>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</si>
  <si>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</si>
  <si>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</si>
  <si>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</si>
  <si>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</si>
  <si>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</si>
  <si>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</si>
  <si>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</si>
  <si>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</si>
  <si>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</si>
  <si>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</si>
  <si>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</si>
  <si>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</si>
  <si>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</si>
  <si>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</si>
  <si>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</si>
  <si>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</si>
  <si>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</si>
  <si>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</si>
  <si>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</si>
  <si>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</si>
  <si>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</si>
  <si>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</si>
  <si>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</si>
  <si>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</si>
  <si>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</si>
  <si>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</si>
  <si>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</si>
  <si>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</si>
  <si>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</si>
  <si>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</si>
  <si>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</si>
  <si>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</si>
  <si>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</si>
  <si>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</si>
  <si>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</si>
  <si>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</si>
  <si>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</si>
  <si>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</si>
  <si>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</si>
  <si>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</si>
  <si>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</si>
  <si>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</si>
  <si>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</si>
  <si>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</si>
  <si>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</si>
  <si>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</si>
  <si>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</si>
  <si>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</si>
  <si>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</si>
  <si>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</si>
  <si>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</si>
  <si>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</si>
  <si>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</si>
  <si>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</si>
  <si>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</si>
  <si>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</si>
  <si>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</si>
  <si>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</si>
  <si>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</si>
  <si>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</si>
  <si>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</si>
  <si>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</si>
  <si>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</si>
  <si>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</si>
  <si>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</si>
  <si>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</si>
  <si>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</si>
  <si>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</si>
  <si>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</si>
  <si>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</si>
  <si>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</si>
  <si>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</si>
  <si>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</si>
  <si>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</si>
  <si>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</si>
  <si>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</si>
  <si>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</si>
  <si>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</si>
  <si>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</si>
  <si>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</si>
  <si>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</si>
  <si>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</si>
  <si>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</si>
  <si>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</si>
  <si>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</si>
  <si>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</si>
  <si>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</si>
  <si>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</si>
  <si>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</si>
  <si>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</si>
  <si>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</si>
  <si>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</si>
  <si>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</si>
  <si>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</si>
  <si>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</si>
  <si>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</si>
  <si>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</si>
  <si>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</si>
  <si>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</si>
  <si>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</si>
  <si>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</si>
  <si>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</si>
  <si>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</si>
  <si>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</si>
  <si>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</si>
  <si>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</si>
  <si>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</si>
  <si>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</si>
  <si>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</si>
  <si>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</si>
  <si>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</si>
  <si>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</si>
  <si>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</si>
  <si>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</si>
  <si>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</si>
  <si>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</si>
  <si>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</si>
  <si>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</si>
  <si>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</si>
  <si>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</si>
  <si>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</si>
  <si>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</si>
  <si>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</si>
  <si>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</si>
  <si>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</si>
  <si>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</si>
  <si>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</si>
  <si>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</si>
  <si>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</si>
  <si>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</si>
  <si>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</si>
  <si>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</si>
  <si>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</si>
  <si>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</si>
  <si>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</si>
  <si>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</si>
  <si>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</si>
  <si>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</si>
  <si>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</si>
  <si>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</si>
  <si>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</si>
  <si>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</si>
  <si>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</si>
  <si>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</si>
  <si>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</si>
  <si>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</si>
  <si>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</si>
  <si>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</si>
  <si>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</si>
  <si>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</si>
  <si>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</si>
  <si>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</si>
  <si>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</si>
  <si>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</si>
  <si>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</si>
  <si>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</si>
  <si>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</si>
  <si>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</si>
  <si>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</si>
  <si>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</si>
  <si>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</si>
  <si>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</si>
  <si>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</si>
  <si>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</si>
  <si>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</si>
  <si>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</si>
  <si>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</si>
  <si>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</si>
  <si>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</si>
  <si>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</si>
  <si>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</si>
  <si>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</si>
  <si>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</si>
  <si>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</si>
  <si>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</si>
  <si>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</si>
  <si>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</si>
  <si>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</si>
  <si>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</si>
  <si>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</si>
  <si>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</si>
  <si>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</si>
  <si>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</si>
  <si>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</si>
  <si>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</si>
  <si>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</si>
  <si>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</si>
  <si>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</si>
  <si>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</si>
  <si>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</si>
  <si>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</si>
  <si>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</si>
  <si>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</si>
  <si>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</si>
  <si>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</si>
  <si>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</si>
  <si>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</si>
  <si>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</si>
  <si>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</si>
  <si>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</si>
  <si>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</si>
  <si>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</si>
  <si>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</si>
  <si>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</si>
  <si>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</si>
  <si>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</si>
  <si>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</si>
  <si>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</si>
  <si>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</si>
  <si>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</si>
  <si>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</si>
  <si>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</si>
  <si>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</si>
  <si>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</si>
  <si>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</si>
  <si>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</si>
  <si>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</si>
  <si>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</si>
  <si>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</si>
  <si>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</si>
  <si>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</si>
  <si>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</si>
  <si>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</si>
  <si>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</si>
  <si>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</si>
  <si>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</si>
  <si>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</si>
  <si>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</si>
  <si>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</si>
  <si>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</si>
  <si>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</si>
  <si>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</si>
  <si>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</si>
  <si>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</si>
  <si>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</si>
  <si>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</si>
  <si>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</si>
  <si>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</si>
  <si>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</si>
  <si>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</si>
  <si>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</si>
  <si>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</si>
  <si>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</si>
  <si>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</si>
  <si>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</si>
  <si>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</si>
  <si>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</si>
  <si>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</si>
  <si>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</si>
  <si>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</si>
  <si>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</si>
  <si>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</si>
  <si>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</si>
  <si>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</si>
  <si>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</si>
  <si>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</si>
  <si>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</si>
  <si>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</si>
  <si>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</si>
  <si>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</si>
  <si>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</si>
  <si>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</si>
  <si>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</si>
  <si>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</si>
  <si>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</si>
  <si>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</si>
  <si>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</si>
  <si>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</si>
  <si>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</si>
  <si>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</si>
  <si>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</si>
  <si>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</si>
  <si>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</si>
  <si>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</si>
  <si>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</si>
  <si>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</si>
  <si>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</si>
  <si>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</si>
  <si>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</si>
  <si>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</si>
  <si>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</si>
  <si>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</si>
  <si>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</si>
  <si>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</si>
  <si>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</si>
  <si>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</si>
  <si>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</si>
  <si>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</si>
  <si>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</si>
  <si>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</si>
  <si>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</si>
  <si>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</si>
  <si>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</si>
  <si>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</si>
  <si>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</si>
  <si>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</si>
  <si>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</si>
  <si>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</si>
  <si>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</si>
  <si>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</si>
  <si>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</si>
  <si>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</si>
  <si>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</si>
  <si>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</si>
  <si>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</si>
  <si>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</si>
  <si>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</si>
  <si>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</si>
  <si>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</si>
  <si>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</si>
  <si>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</si>
  <si>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</si>
  <si>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</si>
  <si>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</si>
  <si>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</si>
  <si>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</si>
  <si>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</si>
  <si>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</si>
  <si>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</si>
  <si>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</si>
  <si>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</si>
  <si>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</si>
  <si>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</si>
  <si>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</si>
  <si>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</si>
  <si>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</si>
  <si>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</si>
  <si>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</si>
  <si>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</si>
  <si>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</si>
  <si>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</si>
  <si>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</si>
  <si>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</si>
  <si>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</si>
  <si>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</si>
  <si>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</si>
  <si>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</si>
  <si>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</si>
  <si>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</si>
  <si>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</si>
  <si>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</si>
  <si>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</si>
  <si>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</si>
  <si>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</si>
  <si>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</si>
  <si>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</si>
  <si>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</si>
  <si>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</si>
  <si>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</si>
  <si>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</si>
  <si>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</si>
  <si>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</si>
  <si>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</si>
  <si>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</si>
  <si>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</si>
  <si>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</si>
  <si>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</si>
  <si>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</si>
  <si>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</si>
  <si>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</si>
  <si>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</si>
  <si>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</si>
  <si>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</si>
  <si>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</si>
  <si>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</si>
  <si>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</si>
  <si>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</si>
  <si>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</si>
  <si>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</si>
  <si>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</si>
  <si>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</si>
  <si>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</si>
  <si>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</si>
  <si>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</si>
  <si>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</si>
  <si>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</si>
  <si>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</si>
  <si>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</si>
  <si>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</si>
  <si>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</si>
  <si>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</si>
  <si>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</si>
  <si>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</si>
  <si>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</si>
  <si>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</si>
  <si>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</si>
  <si>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</si>
  <si>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</si>
  <si>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</si>
  <si>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</si>
  <si>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</si>
  <si>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</si>
  <si>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</si>
  <si>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</si>
  <si>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</si>
  <si>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</si>
  <si>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</si>
  <si>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</si>
  <si>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</si>
  <si>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</si>
  <si>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</si>
  <si>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</si>
  <si>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</si>
  <si>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</si>
  <si>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</si>
  <si>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</si>
  <si>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</si>
  <si>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</si>
  <si>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</si>
  <si>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</si>
  <si>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</si>
  <si>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</si>
  <si>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</si>
  <si>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</si>
  <si>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</si>
  <si>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</si>
  <si>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</si>
  <si>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</si>
  <si>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</si>
  <si>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</si>
  <si>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</si>
  <si>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</si>
  <si>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</si>
  <si>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</si>
  <si>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</si>
  <si>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</si>
  <si>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</si>
  <si>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</si>
  <si>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</si>
  <si>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</si>
  <si>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</si>
  <si>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</si>
  <si>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</si>
  <si>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</si>
  <si>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</si>
  <si>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</si>
  <si>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</si>
  <si>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</si>
  <si>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</si>
  <si>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</si>
  <si>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</si>
  <si>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</si>
  <si>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</si>
  <si>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</si>
  <si>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</si>
  <si>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</si>
  <si>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</si>
  <si>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</si>
  <si>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</si>
  <si>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</si>
  <si>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</si>
  <si>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</si>
  <si>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</si>
  <si>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</si>
  <si>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</si>
  <si>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</si>
  <si>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</si>
  <si>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</si>
  <si>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</si>
  <si>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</si>
  <si>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</si>
  <si>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</si>
  <si>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</si>
  <si>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</si>
  <si>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</si>
  <si>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Serviços Preliminares</t>
  </si>
  <si>
    <t>5216111</t>
  </si>
  <si>
    <t>Terraplenagem</t>
  </si>
  <si>
    <t>4011209</t>
  </si>
  <si>
    <t xml:space="preserve">Pavimentação </t>
  </si>
  <si>
    <t>4011279</t>
  </si>
  <si>
    <t>4011276</t>
  </si>
  <si>
    <t>4011352</t>
  </si>
  <si>
    <t>4011353</t>
  </si>
  <si>
    <t>4011463</t>
  </si>
  <si>
    <t>Materiais Asfálticos BDI 15,00%</t>
  </si>
  <si>
    <t>5914389</t>
  </si>
  <si>
    <t>5914622</t>
  </si>
  <si>
    <t>Sinalização Viária</t>
  </si>
  <si>
    <t>5213401</t>
  </si>
  <si>
    <t>Mês 1</t>
  </si>
  <si>
    <t>Mês 2</t>
  </si>
  <si>
    <t>Município de Ivorá</t>
  </si>
  <si>
    <t>Ivorá/RS</t>
  </si>
  <si>
    <t>Vitor Camargo Costa</t>
  </si>
  <si>
    <t>RS 203284</t>
  </si>
  <si>
    <t>Josemar Zorzi Osmari</t>
  </si>
  <si>
    <t>Prefeito</t>
  </si>
  <si>
    <t>7. Transporte do Concreto Asfáltico - CBUQ</t>
  </si>
  <si>
    <t>Pavimentação Rua Padre Pedro Marcelino Copetti</t>
  </si>
  <si>
    <t>Pavimentação Asfáltica Rua Padre Pedro Marcelino Copetti</t>
  </si>
  <si>
    <t>5213570</t>
  </si>
  <si>
    <t>90781</t>
  </si>
  <si>
    <t>88253</t>
  </si>
  <si>
    <t>90777</t>
  </si>
  <si>
    <t>88249</t>
  </si>
  <si>
    <t>88321</t>
  </si>
  <si>
    <t>5502161</t>
  </si>
  <si>
    <t>2</t>
  </si>
  <si>
    <t>01</t>
  </si>
  <si>
    <t>02</t>
  </si>
  <si>
    <t>03</t>
  </si>
  <si>
    <t>984561</t>
  </si>
  <si>
    <t>984561-2025</t>
  </si>
  <si>
    <t>Pavimentação em CBUQ Rua Padre Pedro Marcelino Copetti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</si>
</sst>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2"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
      <sz val="11"/>
      <color rgb="FF575B5D"/>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4">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49" fontId="81" fillId="6" borderId="19" xfId="0" applyNumberFormat="1" applyFont="1" applyFill="1" applyBorder="1" applyAlignment="1" applyProtection="1">
      <alignment vertical="center"/>
      <protection locked="0"/>
    </xf>
    <xf numFmtId="0" fontId="12" fillId="0" borderId="98" xfId="0" applyFont="1" applyBorder="1" applyAlignment="1">
      <alignment horizontal="center" vertical="center"/>
    </xf>
    <xf numFmtId="0" fontId="24" fillId="0" borderId="132" xfId="0" applyFont="1" applyBorder="1" applyAlignment="1">
      <alignment horizont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608">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zMQYgTdHlgQ4wEWvCuIhE+VL2l5zhYEqqBjkn0VR8EvviDFIlXtgTK4SKD3HfTxH1+PJKcslKNhQ4mUyZ20upQ==" saltValue="mIcCIXfRqjPfseUg2xnSK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80" t="str">
        <f>CHOOSE(MATCH(Objeto,{"PM","PO"}),"PLANILHA MÚLTIPLA ","PLANILHA ORÇAMENTÁRIA ")&amp; Versao</f>
        <v>PLANILHA MÚLTIPLA v3.16</v>
      </c>
      <c r="F2" s="680"/>
      <c r="G2" s="680"/>
      <c r="H2" s="408"/>
      <c r="I2" s="406"/>
      <c r="J2" s="491" t="s">
        <v>1004</v>
      </c>
      <c r="K2" s="510" t="b">
        <v>1</v>
      </c>
    </row>
    <row r="3" spans="1:15" ht="22.5" customHeight="1" x14ac:dyDescent="0.2">
      <c r="A3" s="404"/>
      <c r="B3" s="406"/>
      <c r="C3" s="406"/>
      <c r="D3" s="406"/>
      <c r="E3" s="680"/>
      <c r="F3" s="680"/>
      <c r="G3" s="680"/>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9" t="str">
        <f>IF($O$3&lt;&gt;2,"DOCUMENTAÇÃO DA PROPOSTA","PROPOSTA: Para visualizar/preencher esta seção, altere o TIPO DE ORÇAMENTO para 'Proposto'")</f>
        <v>DOCUMENTAÇÃO DA PROPOSTA</v>
      </c>
      <c r="C8" s="679"/>
      <c r="D8" s="679"/>
      <c r="E8" s="679"/>
      <c r="F8" s="679"/>
      <c r="G8" s="679"/>
      <c r="H8" s="679"/>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04-2026.xlsm.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9" t="str">
        <f>IF($O$3&lt;&gt;2,"PÓS-LICITADO: Para visualizar/preencher esta seção, altere o TIPO DE ORÇAMENTO para 'Licitado'","RESULTADO DO PROCESSO LICITATÓRIO")</f>
        <v>PÓS-LICITADO: Para visualizar/preencher esta seção, altere o TIPO DE ORÇAMENTO para 'Licitado'</v>
      </c>
      <c r="C16" s="679"/>
      <c r="D16" s="679"/>
      <c r="E16" s="679"/>
      <c r="F16" s="679"/>
      <c r="G16" s="679"/>
      <c r="H16" s="679"/>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9" t="str">
        <f>IF($O$3&lt;&gt;2,"ACOMPANHAMENTO: Para visualizar/preencher esta seção, altere o TIPO DE ORÇAMENTO para 'Licitado'","ACOMPANHAMENTO DO EMPREENDIMENTO")</f>
        <v>ACOMPANHAMENTO: Para visualizar/preencher esta seção, altere o TIPO DE ORÇAMENTO para 'Licitado'</v>
      </c>
      <c r="C20" s="679"/>
      <c r="D20" s="679"/>
      <c r="E20" s="679"/>
      <c r="F20" s="679"/>
      <c r="G20" s="679"/>
      <c r="H20" s="679"/>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khtod+ua/lTckm5wHw7mL8UYgVrTb2RvTLyjb17ZdGc1jKWZESh7ODHoP3xxtep07otlIp8XIkBBHNtPxsO/w==" saltValue="xZwc9O5VGLdEn1/wjvHyJQ==" spinCount="100000" sheet="1" objects="1" scenarios="1" autoFilter="0"/>
  <mergeCells count="4">
    <mergeCell ref="B20:H20"/>
    <mergeCell ref="B8:H8"/>
    <mergeCell ref="E2:G3"/>
    <mergeCell ref="B16:H16"/>
  </mergeCells>
  <phoneticPr fontId="38" type="noConversion"/>
  <conditionalFormatting sqref="C10:G14">
    <cfRule type="expression" dxfId="605" priority="70" stopIfTrue="1">
      <formula>TIPOORCAMENTO="Licitado"</formula>
    </cfRule>
  </conditionalFormatting>
  <conditionalFormatting sqref="C18:G18 E22:E24">
    <cfRule type="expression" dxfId="604" priority="71" stopIfTrue="1">
      <formula>TIPOORCAMENTO&lt;&gt;"Licitado"</formula>
    </cfRule>
  </conditionalFormatting>
  <conditionalFormatting sqref="C22">
    <cfRule type="expression" dxfId="603" priority="73" stopIfTrue="1">
      <formula>OR(TIPOORCAMENTO&lt;&gt;"Licitado",ACOMPANHAMENTO&lt;&gt;"PLE")</formula>
    </cfRule>
  </conditionalFormatting>
  <conditionalFormatting sqref="G22">
    <cfRule type="expression" dxfId="602" priority="74" stopIfTrue="1">
      <formula>OR(TIPOORCAMENTO&lt;&gt;"Licitado",ACOMPANHAMENTO&lt;&gt;"BM")</formula>
    </cfRule>
  </conditionalFormatting>
  <conditionalFormatting sqref="B16:H16 B20:H20">
    <cfRule type="expression" dxfId="601" priority="599" stopIfTrue="1">
      <formula>$O$3&lt;&gt;2</formula>
    </cfRule>
  </conditionalFormatting>
  <conditionalFormatting sqref="B8:H8">
    <cfRule type="expression" dxfId="600"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78" t="s">
        <v>97</v>
      </c>
      <c r="O1" s="678"/>
      <c r="P1" s="678"/>
      <c r="Q1" s="678"/>
      <c r="R1" s="678"/>
      <c r="S1" s="678"/>
      <c r="T1" s="678"/>
      <c r="U1" s="678"/>
      <c r="V1" s="678"/>
      <c r="W1" s="678"/>
      <c r="X1" s="678"/>
      <c r="Y1" s="678"/>
      <c r="Z1" s="678"/>
      <c r="AA1" s="678"/>
      <c r="AB1" s="678"/>
      <c r="AC1" s="678"/>
      <c r="AD1" s="678"/>
      <c r="AE1" s="678"/>
      <c r="AF1" s="678"/>
      <c r="AG1" s="678"/>
      <c r="AH1" s="678"/>
      <c r="AI1" s="678"/>
      <c r="AJ1" s="678"/>
      <c r="AK1" s="678"/>
      <c r="AL1" s="678"/>
      <c r="AM1" s="678"/>
      <c r="AN1" s="678"/>
      <c r="AO1" s="678"/>
      <c r="AP1" s="678"/>
      <c r="AQ1" s="678"/>
      <c r="AR1" s="678"/>
      <c r="AS1" s="678"/>
      <c r="AT1" s="678"/>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7" t="s">
        <v>119</v>
      </c>
      <c r="C3" s="677"/>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1024</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1025</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1045</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1044</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389863</v>
      </c>
      <c r="D9" s="563" t="str">
        <f t="shared" ca="1" si="0"/>
        <v/>
      </c>
      <c r="I9" t="s">
        <v>973</v>
      </c>
      <c r="L9" s="12" t="s">
        <v>106</v>
      </c>
      <c r="U9" t="s">
        <v>198</v>
      </c>
      <c r="V9" s="7" t="s">
        <v>126</v>
      </c>
      <c r="W9" t="s">
        <v>199</v>
      </c>
      <c r="X9" s="7" t="s">
        <v>128</v>
      </c>
      <c r="AV9" t="s">
        <v>200</v>
      </c>
      <c r="AW9" t="s">
        <v>201</v>
      </c>
    </row>
    <row r="10" spans="2:49" x14ac:dyDescent="0.2">
      <c r="B10" s="17" t="s">
        <v>202</v>
      </c>
      <c r="C10" s="19">
        <v>34626.11</v>
      </c>
      <c r="D10" s="563" t="str">
        <f t="shared" ca="1" si="0"/>
        <v/>
      </c>
      <c r="L10" s="12" t="s">
        <v>107</v>
      </c>
      <c r="U10" t="s">
        <v>203</v>
      </c>
      <c r="V10" s="7" t="s">
        <v>148</v>
      </c>
      <c r="W10" t="s">
        <v>204</v>
      </c>
      <c r="X10" s="7" t="s">
        <v>121</v>
      </c>
      <c r="AV10" t="s">
        <v>205</v>
      </c>
      <c r="AW10" t="s">
        <v>206</v>
      </c>
    </row>
    <row r="11" spans="2:49" x14ac:dyDescent="0.2">
      <c r="B11" s="17" t="s">
        <v>207</v>
      </c>
      <c r="C11" s="20">
        <v>1E-3</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7" t="s">
        <v>220</v>
      </c>
      <c r="C15" s="677"/>
      <c r="D15" s="562" t="str">
        <f ca="1">IF(COUNTIF(D16:D19,"◄")=0,"","Falta preencher a linha "&amp;MATCH("◄",D16:D19,0)+ROW(D15))</f>
        <v/>
      </c>
      <c r="L15" s="12" t="s">
        <v>112</v>
      </c>
      <c r="AV15" t="s">
        <v>221</v>
      </c>
      <c r="AW15" t="s">
        <v>222</v>
      </c>
    </row>
    <row r="16" spans="2:49" x14ac:dyDescent="0.2">
      <c r="B16" s="24" t="s">
        <v>223</v>
      </c>
      <c r="C16" s="25" t="s">
        <v>1031</v>
      </c>
      <c r="D16" s="563" t="str">
        <f t="shared" ref="D16:D19" ca="1" si="1">IF(OFFSET(D16,0,-1)="","◄","")</f>
        <v/>
      </c>
      <c r="L16" s="12" t="s">
        <v>113</v>
      </c>
      <c r="AV16" t="s">
        <v>224</v>
      </c>
      <c r="AW16" t="s">
        <v>225</v>
      </c>
    </row>
    <row r="17" spans="2:49" x14ac:dyDescent="0.2">
      <c r="B17" s="17" t="s">
        <v>226</v>
      </c>
      <c r="C17" s="26" t="s">
        <v>1032</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46113</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7" t="s">
        <v>237</v>
      </c>
      <c r="C21" s="677"/>
      <c r="D21" s="562" t="str">
        <f ca="1">IF(COUNTIF(D22:D25,"◄")=0,"","Falta preencher a linha "&amp;MATCH("◄",D22:D25,0)+ROW(D21))</f>
        <v/>
      </c>
      <c r="L21" s="12"/>
      <c r="AV21" t="s">
        <v>238</v>
      </c>
      <c r="AW21" t="s">
        <v>239</v>
      </c>
    </row>
    <row r="22" spans="2:49" x14ac:dyDescent="0.2">
      <c r="B22" s="15" t="s">
        <v>240</v>
      </c>
      <c r="C22" s="31" t="s">
        <v>1026</v>
      </c>
      <c r="D22" s="563" t="str">
        <f t="shared" ref="D22:D24" ca="1" si="2">IF(OFFSET(D22,0,-1)="","◄","")</f>
        <v/>
      </c>
      <c r="AV22" t="s">
        <v>241</v>
      </c>
      <c r="AW22" t="s">
        <v>242</v>
      </c>
    </row>
    <row r="23" spans="2:49" x14ac:dyDescent="0.2">
      <c r="B23" s="17" t="s">
        <v>243</v>
      </c>
      <c r="C23" s="18" t="s">
        <v>1027</v>
      </c>
      <c r="D23" s="563" t="str">
        <f t="shared" ca="1" si="2"/>
        <v/>
      </c>
      <c r="AV23" t="s">
        <v>244</v>
      </c>
      <c r="AW23" t="s">
        <v>245</v>
      </c>
    </row>
    <row r="24" spans="2:49" ht="14.25" x14ac:dyDescent="0.2">
      <c r="B24" s="17" t="s">
        <v>246</v>
      </c>
      <c r="C24" s="676">
        <v>14443886</v>
      </c>
      <c r="D24" s="563" t="str">
        <f t="shared" ca="1" si="2"/>
        <v/>
      </c>
      <c r="AV24" t="s">
        <v>247</v>
      </c>
      <c r="AW24" t="s">
        <v>248</v>
      </c>
    </row>
    <row r="25" spans="2:49" ht="13.5" thickBot="1" x14ac:dyDescent="0.25">
      <c r="B25" s="21" t="s">
        <v>249</v>
      </c>
      <c r="C25" s="32">
        <v>46169</v>
      </c>
      <c r="D25" s="563" t="s">
        <v>250</v>
      </c>
      <c r="AV25" t="s">
        <v>251</v>
      </c>
      <c r="AW25" t="s">
        <v>252</v>
      </c>
    </row>
    <row r="26" spans="2:49" ht="13.5" thickBot="1" x14ac:dyDescent="0.25">
      <c r="AV26" t="s">
        <v>253</v>
      </c>
      <c r="AW26" t="s">
        <v>254</v>
      </c>
    </row>
    <row r="27" spans="2:49" ht="15.75" thickBot="1" x14ac:dyDescent="0.3">
      <c r="B27" s="677" t="s">
        <v>255</v>
      </c>
      <c r="C27" s="677"/>
      <c r="D27" s="562" t="str">
        <f ca="1">IF(COUNTIF(D28:D29,"◄")=0,"","Falta preencher a linha "&amp;MATCH("◄",D28:D29,0)+ROW(D27))</f>
        <v/>
      </c>
      <c r="AV27" t="s">
        <v>256</v>
      </c>
      <c r="AW27" t="s">
        <v>257</v>
      </c>
    </row>
    <row r="28" spans="2:49" x14ac:dyDescent="0.2">
      <c r="B28" s="13" t="s">
        <v>240</v>
      </c>
      <c r="C28" s="33" t="s">
        <v>1028</v>
      </c>
      <c r="D28" s="563" t="str">
        <f t="shared" ref="D28:D29" ca="1" si="3">IF(OFFSET(D28,0,-1)="","◄","")</f>
        <v/>
      </c>
      <c r="AV28" t="s">
        <v>258</v>
      </c>
      <c r="AW28" t="s">
        <v>259</v>
      </c>
    </row>
    <row r="29" spans="2:49" ht="13.5" thickBot="1" x14ac:dyDescent="0.25">
      <c r="B29" s="21" t="s">
        <v>260</v>
      </c>
      <c r="C29" s="34" t="s">
        <v>1029</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7" t="s">
        <v>273</v>
      </c>
      <c r="C35" s="677"/>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7" t="s">
        <v>303</v>
      </c>
      <c r="C46" s="677"/>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7" t="s">
        <v>314</v>
      </c>
      <c r="C50" s="677"/>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7" t="s">
        <v>337</v>
      </c>
      <c r="C59" s="677"/>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OxtH4m1StjSZ0epKjPlSKwsYFHKwezH1G5NDw/Fn64I+IG9YlznTfpOfHfFHAURyNwfgEyk6rGyLRBJqotADMg==" saltValue="FoBhHjtwF8/ib6EWUj9nhA=="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607" priority="2" stopIfTrue="1">
      <formula>CAIXA.Modo=FALSE</formula>
    </cfRule>
  </conditionalFormatting>
  <conditionalFormatting sqref="B59:C61">
    <cfRule type="expression" dxfId="606"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orientation="portrait"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abSelected="1"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2" t="s">
        <v>644</v>
      </c>
      <c r="S1" s="682"/>
    </row>
    <row r="2" spans="1:21" x14ac:dyDescent="0.2">
      <c r="A2" s="49" t="s">
        <v>645</v>
      </c>
      <c r="B2" s="53" t="s">
        <v>646</v>
      </c>
      <c r="C2" s="49" t="str">
        <f t="shared" ref="C2:C49" si="0">CONCATENATE(A2,"-",B2)</f>
        <v>Construção e Reforma de Edifícios-AC</v>
      </c>
      <c r="E2" s="54">
        <v>0.03</v>
      </c>
      <c r="F2" s="54">
        <v>0.04</v>
      </c>
      <c r="G2" s="54">
        <v>5.5E-2</v>
      </c>
      <c r="R2" s="683" t="s">
        <v>647</v>
      </c>
      <c r="S2" s="683"/>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4" t="s">
        <v>650</v>
      </c>
      <c r="K4" s="684"/>
      <c r="L4" s="684" t="s">
        <v>651</v>
      </c>
      <c r="M4" s="684"/>
      <c r="N4" s="684" t="s">
        <v>652</v>
      </c>
      <c r="O4" s="684"/>
      <c r="P4" s="684"/>
      <c r="Q4" s="684"/>
      <c r="R4" s="684"/>
      <c r="S4" s="684"/>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1" t="str">
        <f>Import.CR</f>
        <v>984561-2025</v>
      </c>
      <c r="K5" s="681"/>
      <c r="L5" s="681" t="str">
        <f>Import.TransfereGOV</f>
        <v>984561</v>
      </c>
      <c r="M5" s="681"/>
      <c r="N5" s="681" t="str">
        <f>Import.Proponente</f>
        <v>Município de Ivorá</v>
      </c>
      <c r="O5" s="681"/>
      <c r="P5" s="681"/>
      <c r="Q5" s="681"/>
      <c r="R5" s="681"/>
      <c r="S5" s="681"/>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10"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10"/>
      <c r="J7" s="684" t="s">
        <v>657</v>
      </c>
      <c r="K7" s="684"/>
      <c r="L7" s="684"/>
      <c r="M7" s="684"/>
      <c r="N7" s="684"/>
      <c r="O7" s="684"/>
      <c r="P7" s="684"/>
      <c r="Q7" s="684"/>
      <c r="R7" s="684"/>
      <c r="S7" s="684"/>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10"/>
      <c r="J8" s="687" t="str">
        <f>Import.Apelido&amp;" / "&amp;Import.DescLote</f>
        <v>Pavimentação Rua Padre Pedro Marcelino Copetti / Pavimentação Asfáltica Rua Padre Pedro Marcelino Copetti</v>
      </c>
      <c r="K8" s="687"/>
      <c r="L8" s="687"/>
      <c r="M8" s="687"/>
      <c r="N8" s="687"/>
      <c r="O8" s="687"/>
      <c r="P8" s="687"/>
      <c r="Q8" s="687"/>
      <c r="R8" s="687"/>
      <c r="S8" s="687"/>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10"/>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10"/>
      <c r="J10" s="688" t="s">
        <v>659</v>
      </c>
      <c r="K10" s="688"/>
      <c r="L10" s="688"/>
      <c r="M10" s="688"/>
      <c r="N10" s="688"/>
      <c r="O10" s="688"/>
      <c r="P10" s="688"/>
      <c r="Q10" s="688"/>
      <c r="R10" s="686">
        <v>1</v>
      </c>
      <c r="S10" s="686"/>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5" t="s">
        <v>661</v>
      </c>
      <c r="K11" s="685"/>
      <c r="L11" s="685"/>
      <c r="M11" s="685"/>
      <c r="N11" s="685"/>
      <c r="O11" s="685"/>
      <c r="P11" s="685"/>
      <c r="Q11" s="685"/>
      <c r="R11" s="686">
        <v>0.03</v>
      </c>
      <c r="S11" s="686"/>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3" t="s">
        <v>663</v>
      </c>
      <c r="K14" s="693"/>
      <c r="L14" s="693"/>
      <c r="M14" s="693"/>
      <c r="N14" s="693"/>
      <c r="O14" s="693"/>
      <c r="P14" s="693"/>
      <c r="Q14" s="693"/>
      <c r="R14" s="693"/>
      <c r="S14" s="693"/>
      <c r="U14" s="521" t="str">
        <f ca="1">IF(COUNTIF(ORÇAMENTO!$V$15:$V$44,BDI_1.Título)=0,"",IF(OR(Import.BDI.Tipo1="(SELECIONAR)",Import.BDI.Tipo1="",U17&lt;&gt;"",AND($J17&lt;&gt;$A$145,OR(S21="",S22="",AND($J17&lt;&gt;$A$146,OR(S23="",S24="")),S25="",S26=""))),"Falta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4" t="s">
        <v>664</v>
      </c>
      <c r="K16" s="684"/>
      <c r="L16" s="684"/>
      <c r="M16" s="684"/>
      <c r="N16" s="684"/>
      <c r="O16" s="684"/>
      <c r="P16" s="684"/>
      <c r="Q16" s="684"/>
      <c r="R16" s="684"/>
      <c r="S16" s="684"/>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90" t="s">
        <v>658</v>
      </c>
      <c r="K17" s="690"/>
      <c r="L17" s="690"/>
      <c r="M17" s="690"/>
      <c r="N17" s="690"/>
      <c r="O17" s="690"/>
      <c r="P17" s="690"/>
      <c r="Q17" s="690"/>
      <c r="R17" s="690"/>
      <c r="S17" s="690"/>
      <c r="T17" s="563" t="str">
        <f ca="1">IF(U17="","","◄")</f>
        <v/>
      </c>
      <c r="U17" s="562" t="str">
        <f ca="1">IF(AND(OR(S29&gt;0,COUNTIF(ORÇAMENTO!$V$15:$V$44,BDI_1.Título)&gt;0),OR(Import.BDI.Tipo1="(SELECIONAR)",Import.BDI.Tipo1="")),"Selecione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2" t="s">
        <v>666</v>
      </c>
      <c r="K19" s="692"/>
      <c r="L19" s="692"/>
      <c r="M19" s="692"/>
      <c r="N19" s="692"/>
      <c r="O19" s="692"/>
      <c r="P19" s="692"/>
      <c r="Q19" s="692"/>
      <c r="R19" s="692" t="s">
        <v>667</v>
      </c>
      <c r="S19" s="691" t="s">
        <v>668</v>
      </c>
      <c r="U19" s="691" t="s">
        <v>669</v>
      </c>
      <c r="V19" s="691"/>
      <c r="W19" s="691"/>
      <c r="X19" s="689" t="s">
        <v>670</v>
      </c>
      <c r="Y19" s="689" t="s">
        <v>671</v>
      </c>
      <c r="Z19" s="689"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2"/>
      <c r="K20" s="692"/>
      <c r="L20" s="692"/>
      <c r="M20" s="692"/>
      <c r="N20" s="692"/>
      <c r="O20" s="692"/>
      <c r="P20" s="692"/>
      <c r="Q20" s="692"/>
      <c r="R20" s="692"/>
      <c r="S20" s="691"/>
      <c r="U20" s="691"/>
      <c r="V20" s="691"/>
      <c r="W20" s="691"/>
      <c r="X20" s="689"/>
      <c r="Y20" s="689"/>
      <c r="Z20" s="689"/>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4" t="str">
        <f>IF($J$17=$A$146,"Encargos Sociais incidentes sobre a mão de obra","Administração Central")</f>
        <v>Administração Central</v>
      </c>
      <c r="K21" s="694"/>
      <c r="L21" s="694"/>
      <c r="M21" s="694"/>
      <c r="N21" s="694"/>
      <c r="O21" s="694"/>
      <c r="P21" s="694"/>
      <c r="Q21" s="694"/>
      <c r="R21" s="60" t="str">
        <f>IF($J17=$A$146,"K1","AC")</f>
        <v>AC</v>
      </c>
      <c r="S21" s="61">
        <v>4.6699999999999998E-2</v>
      </c>
      <c r="T21" s="572" t="str">
        <f ca="1">IF(AND($U$14&lt;&gt;"",$U$17="",R21&lt;&gt;"",S21=""),"◄","")</f>
        <v/>
      </c>
      <c r="U21" s="695" t="str">
        <f ca="1">IFERROR(IF(T21="◄","FALTA PREENCHER",IF(AND(OR(S21&gt;=X21,X21="-"),OR(S21&lt;=Z21,Z21="-")),"OK","FORA DO INTERVALO")),"-")</f>
        <v>OK</v>
      </c>
      <c r="V21" s="695"/>
      <c r="W21" s="695"/>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4" t="str">
        <f>IF($J$17=$A$146,"Administração Central da empresa ou consultoria - overhead","Seguro e Garantia")</f>
        <v>Seguro e Garantia</v>
      </c>
      <c r="K22" s="694"/>
      <c r="L22" s="694"/>
      <c r="M22" s="694"/>
      <c r="N22" s="694"/>
      <c r="O22" s="694"/>
      <c r="P22" s="694"/>
      <c r="Q22" s="694"/>
      <c r="R22" s="60" t="str">
        <f>IF($J17=$A$146,"K2","SG")</f>
        <v>SG</v>
      </c>
      <c r="S22" s="61">
        <v>7.4000000000000003E-3</v>
      </c>
      <c r="T22" s="572" t="str">
        <f t="shared" ref="T22:T26" ca="1" si="1">IF(AND($U$14&lt;&gt;"",$U$17="",R22&lt;&gt;"",S22=""),"◄","")</f>
        <v/>
      </c>
      <c r="U22" s="695" t="str">
        <f t="shared" ref="U22:U28" ca="1" si="2">IFERROR(IF(T22="◄","FALTA PREENCHER",IF(AND(OR(S22&gt;=X22,X22="-"),OR(S22&lt;=Z22,Z22="-")),"OK","FORA DO INTERVALO")),"-")</f>
        <v>OK</v>
      </c>
      <c r="V22" s="695"/>
      <c r="W22" s="695"/>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4" t="s">
        <v>942</v>
      </c>
      <c r="K23" s="694"/>
      <c r="L23" s="694"/>
      <c r="M23" s="694"/>
      <c r="N23" s="694"/>
      <c r="O23" s="694"/>
      <c r="P23" s="694"/>
      <c r="Q23" s="694"/>
      <c r="R23" s="60" t="str">
        <f>IF($J17=$A$146,"","R")</f>
        <v>R</v>
      </c>
      <c r="S23" s="61">
        <v>9.7000000000000003E-3</v>
      </c>
      <c r="T23" s="572" t="str">
        <f t="shared" ca="1" si="1"/>
        <v/>
      </c>
      <c r="U23" s="695" t="str">
        <f t="shared" ca="1" si="2"/>
        <v>OK</v>
      </c>
      <c r="V23" s="695"/>
      <c r="W23" s="695"/>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4" t="s">
        <v>943</v>
      </c>
      <c r="K24" s="694"/>
      <c r="L24" s="694"/>
      <c r="M24" s="694"/>
      <c r="N24" s="694"/>
      <c r="O24" s="694"/>
      <c r="P24" s="694"/>
      <c r="Q24" s="694"/>
      <c r="R24" s="60" t="str">
        <f>IF($J17=$A$146,"","DF")</f>
        <v>DF</v>
      </c>
      <c r="S24" s="61">
        <v>1.21E-2</v>
      </c>
      <c r="T24" s="572" t="str">
        <f t="shared" ca="1" si="1"/>
        <v/>
      </c>
      <c r="U24" s="695" t="str">
        <f t="shared" ca="1" si="2"/>
        <v>OK</v>
      </c>
      <c r="V24" s="695"/>
      <c r="W24" s="695"/>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4" t="str">
        <f>IF($J$17=$A$146,"Margem bruta da empresa de consultoria","Lucro")</f>
        <v>Lucro</v>
      </c>
      <c r="K25" s="694"/>
      <c r="L25" s="694"/>
      <c r="M25" s="694"/>
      <c r="N25" s="694"/>
      <c r="O25" s="694"/>
      <c r="P25" s="694"/>
      <c r="Q25" s="694"/>
      <c r="R25" s="60" t="str">
        <f>IF($J17=$A$146,"K3","L")</f>
        <v>L</v>
      </c>
      <c r="S25" s="61">
        <v>7.7100000000000002E-2</v>
      </c>
      <c r="T25" s="572" t="str">
        <f t="shared" ca="1" si="1"/>
        <v/>
      </c>
      <c r="U25" s="695" t="str">
        <f t="shared" ca="1" si="2"/>
        <v>OK</v>
      </c>
      <c r="V25" s="695"/>
      <c r="W25" s="695"/>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4" t="s">
        <v>675</v>
      </c>
      <c r="K26" s="694"/>
      <c r="L26" s="694"/>
      <c r="M26" s="694"/>
      <c r="N26" s="694"/>
      <c r="O26" s="694"/>
      <c r="P26" s="694"/>
      <c r="Q26" s="694"/>
      <c r="R26" s="60" t="s">
        <v>456</v>
      </c>
      <c r="S26" s="61">
        <v>3.6499999999999998E-2</v>
      </c>
      <c r="T26" s="572" t="str">
        <f t="shared" ca="1" si="1"/>
        <v/>
      </c>
      <c r="U26" s="695" t="str">
        <f t="shared" ca="1" si="2"/>
        <v>OK</v>
      </c>
      <c r="V26" s="695"/>
      <c r="W26" s="695"/>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4" t="s">
        <v>676</v>
      </c>
      <c r="K27" s="694"/>
      <c r="L27" s="694"/>
      <c r="M27" s="694"/>
      <c r="N27" s="694"/>
      <c r="O27" s="694"/>
      <c r="P27" s="694"/>
      <c r="Q27" s="694"/>
      <c r="R27" s="60" t="s">
        <v>677</v>
      </c>
      <c r="S27" s="62">
        <f ca="1">IF(AND($J17&lt;&gt;$A$145,COUNTA(OFFSET(S20,1,0,6))&gt;0),$R$11*$R$10,0)</f>
        <v>0.03</v>
      </c>
      <c r="U27" s="695" t="str">
        <f t="shared" ca="1" si="2"/>
        <v>OK</v>
      </c>
      <c r="V27" s="695"/>
      <c r="W27" s="695"/>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4" t="s">
        <v>678</v>
      </c>
      <c r="K28" s="694"/>
      <c r="L28" s="694"/>
      <c r="M28" s="694"/>
      <c r="N28" s="694"/>
      <c r="O28" s="694"/>
      <c r="P28" s="694"/>
      <c r="Q28" s="694"/>
      <c r="R28" s="60" t="s">
        <v>679</v>
      </c>
      <c r="S28" s="62" cm="1">
        <f t="array" aca="1" ref="S28" ca="1">IF(BDI.Opcao&lt;&gt;"Desonerado",0,IF(AND($J17&lt;&gt;$A$145,COUNTA(OFFSET(S20,1,0,6))&gt;0),IF(YEAR(Import.DataBase)&lt;2025,4.5%,IF(YEAR(Import.DataBase)=2025,3.6%,IF(YEAR(Import.DataBase)=2026,2.7%,IF(YEAR(Import.DataBase)=2027,1.8%,0%)))),0%))</f>
        <v>0</v>
      </c>
      <c r="U28" s="695" t="str">
        <f t="shared" ca="1" si="2"/>
        <v>OK</v>
      </c>
      <c r="V28" s="695"/>
      <c r="W28" s="695"/>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4" t="s">
        <v>680</v>
      </c>
      <c r="K29" s="694"/>
      <c r="L29" s="694"/>
      <c r="M29" s="694"/>
      <c r="N29" s="694"/>
      <c r="O29" s="694"/>
      <c r="P29" s="694"/>
      <c r="Q29" s="694"/>
      <c r="R29" s="64" t="s">
        <v>656</v>
      </c>
      <c r="S29" s="62">
        <f ca="1">IF($J17=$A$145,0,ROUND((((1+S21+S22+S23)*(1+S24)*(1+S25)/(1-(S26+S27)))-1),4))</f>
        <v>0.24229999999999999</v>
      </c>
      <c r="U29" s="691" t="str">
        <f ca="1">IFERROR(IF(AND(OR(S29&gt;=X29,X29="-"),OR(S29&lt;=Z29,Z29="-")),"OK","FORA DO INTERVALO"),IF(S29=0,"OK","Selecione o Tipo de obra"))</f>
        <v>OK</v>
      </c>
      <c r="V29" s="691"/>
      <c r="W29" s="691"/>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8" t="s">
        <v>681</v>
      </c>
      <c r="K30" s="698"/>
      <c r="L30" s="698"/>
      <c r="M30" s="698"/>
      <c r="N30" s="698"/>
      <c r="O30" s="698"/>
      <c r="P30" s="698"/>
      <c r="Q30" s="698"/>
      <c r="R30" s="65" t="s">
        <v>682</v>
      </c>
      <c r="S30" s="66">
        <f ca="1">IF($J17=$A$145,0,ROUND((((1+S21+S22+S23)*(1+S24)*(1+S25)/(1-(S26+S27+S28)))-1),4))</f>
        <v>0.24229999999999999</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9" t="str">
        <f ca="1">IF(U29&lt;&gt;"ok","Anexo: Relatório Técnico Circunstanciado justificando a adoção do percentual de cada parcela do BDI.","")</f>
        <v/>
      </c>
      <c r="L32" s="699"/>
      <c r="M32" s="699"/>
      <c r="N32" s="699"/>
      <c r="O32" s="699"/>
      <c r="P32" s="699"/>
      <c r="Q32" s="699"/>
      <c r="R32" s="699"/>
      <c r="S32" s="699"/>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00" t="s">
        <v>683</v>
      </c>
      <c r="K34" s="700"/>
      <c r="L34" s="700"/>
      <c r="M34" s="700"/>
      <c r="N34" s="700"/>
      <c r="O34" s="700"/>
      <c r="P34" s="700"/>
      <c r="Q34" s="700"/>
      <c r="R34" s="700"/>
      <c r="S34" s="700"/>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1" t="s">
        <v>684</v>
      </c>
      <c r="N35" s="707" t="str">
        <f>IF($J17=$A$146,"(1+K1+K2)*(1+K3)","(1+AC + S + R + G)*(1 + DF)*(1+L)")</f>
        <v>(1+AC + S + R + G)*(1 + DF)*(1+L)</v>
      </c>
      <c r="O35" s="707"/>
      <c r="P35" s="707"/>
      <c r="Q35" s="708"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1"/>
      <c r="N36" s="696" t="s">
        <v>686</v>
      </c>
      <c r="O36" s="696"/>
      <c r="P36" s="696"/>
      <c r="Q36" s="708"/>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697"/>
      <c r="L38" s="697"/>
      <c r="M38" s="697"/>
      <c r="N38" s="697"/>
      <c r="O38" s="697"/>
      <c r="P38" s="697"/>
      <c r="Q38" s="697"/>
      <c r="R38" s="697"/>
      <c r="S38" s="697"/>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7"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7"/>
      <c r="L40" s="697"/>
      <c r="M40" s="697"/>
      <c r="N40" s="697"/>
      <c r="O40" s="697"/>
      <c r="P40" s="697"/>
      <c r="Q40" s="697"/>
      <c r="R40" s="697"/>
      <c r="S40" s="697"/>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9"/>
      <c r="K43" s="709"/>
      <c r="L43" s="709"/>
      <c r="M43" s="709"/>
      <c r="N43" s="709"/>
      <c r="O43" s="709"/>
      <c r="P43" s="709"/>
      <c r="Q43" s="709"/>
      <c r="R43" s="709"/>
      <c r="S43" s="709"/>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3" t="str">
        <f>Import.Município</f>
        <v>Ivorá/RS</v>
      </c>
      <c r="K45" s="703"/>
      <c r="L45" s="703"/>
      <c r="M45" s="703"/>
      <c r="P45" s="704">
        <f>DADOS!$C$25</f>
        <v>46169</v>
      </c>
      <c r="Q45" s="704"/>
      <c r="R45" s="704"/>
      <c r="S45" s="70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5" t="s">
        <v>693</v>
      </c>
      <c r="K46" s="705"/>
      <c r="L46" s="705"/>
      <c r="M46" s="70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6"/>
      <c r="K48" s="706"/>
      <c r="L48" s="706"/>
      <c r="M48" s="70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2" t="s">
        <v>696</v>
      </c>
      <c r="K49" s="702"/>
      <c r="L49" s="702"/>
      <c r="M49" s="702"/>
    </row>
    <row r="50" spans="1:26" ht="14.25" x14ac:dyDescent="0.2">
      <c r="B50" s="58"/>
      <c r="E50" s="54"/>
      <c r="F50" s="54"/>
      <c r="G50" s="54"/>
      <c r="I50" t="s">
        <v>536</v>
      </c>
      <c r="J50" s="77" t="s">
        <v>240</v>
      </c>
      <c r="K50" s="78" t="str">
        <f t="array" ref="K50:K52">Import.RespOrçamento</f>
        <v>Vitor Camargo Costa</v>
      </c>
      <c r="L50" s="79"/>
      <c r="M50" s="79"/>
      <c r="N50" s="76"/>
    </row>
    <row r="51" spans="1:26" ht="14.25" x14ac:dyDescent="0.2">
      <c r="A51"/>
      <c r="B51"/>
      <c r="C51"/>
      <c r="D51"/>
      <c r="E51"/>
      <c r="F51"/>
      <c r="G51"/>
      <c r="I51" t="s">
        <v>536</v>
      </c>
      <c r="J51" s="77" t="s">
        <v>243</v>
      </c>
      <c r="K51" s="78" t="str">
        <v>RS 203284</v>
      </c>
      <c r="L51" s="79"/>
      <c r="M51" s="79"/>
      <c r="N51" s="76"/>
    </row>
    <row r="52" spans="1:26" ht="14.25" x14ac:dyDescent="0.2">
      <c r="A52"/>
      <c r="B52"/>
      <c r="C52"/>
      <c r="D52"/>
      <c r="E52"/>
      <c r="F52"/>
      <c r="G52"/>
      <c r="I52" t="s">
        <v>536</v>
      </c>
      <c r="J52" s="77" t="s">
        <v>246</v>
      </c>
      <c r="K52" s="78">
        <v>14443886</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F</v>
      </c>
      <c r="J54" s="693" t="s">
        <v>697</v>
      </c>
      <c r="K54" s="693"/>
      <c r="L54" s="693"/>
      <c r="M54" s="693"/>
      <c r="N54" s="693"/>
      <c r="O54" s="693"/>
      <c r="P54" s="693"/>
      <c r="Q54" s="693"/>
      <c r="R54" s="693"/>
      <c r="S54" s="693"/>
      <c r="U54" s="521" t="str">
        <f ca="1">IF(COUNTIF(ORÇAMENTO!$V$15:$V$44,BDI_2.Título)=0,"",IF(OR(Import.BDI.Tipo2="(SELECIONAR)",Import.BDI.Tipo2="",U57&lt;&gt;"",AND($J57&lt;&gt;$A$145,OR(S61="",S62="",AND($J57&lt;&gt;$A$146,OR(S63="",S64="")),S65="",S66=""))),"Falta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684" t="s">
        <v>664</v>
      </c>
      <c r="K56" s="684"/>
      <c r="L56" s="684"/>
      <c r="M56" s="684"/>
      <c r="N56" s="684"/>
      <c r="O56" s="684"/>
      <c r="P56" s="684"/>
      <c r="Q56" s="684"/>
      <c r="R56" s="684"/>
      <c r="S56" s="684"/>
    </row>
    <row r="57" spans="1:26" ht="15" x14ac:dyDescent="0.25">
      <c r="A57"/>
      <c r="B57"/>
      <c r="C57"/>
      <c r="D57"/>
      <c r="E57"/>
      <c r="F57"/>
      <c r="G57"/>
      <c r="I57" t="str">
        <f t="shared" ca="1" si="3"/>
        <v>F</v>
      </c>
      <c r="J57" s="690" t="s">
        <v>665</v>
      </c>
      <c r="K57" s="690"/>
      <c r="L57" s="690"/>
      <c r="M57" s="690"/>
      <c r="N57" s="690"/>
      <c r="O57" s="690"/>
      <c r="P57" s="690"/>
      <c r="Q57" s="690"/>
      <c r="R57" s="690"/>
      <c r="S57" s="690"/>
      <c r="T57" s="563" t="str">
        <f ca="1">IF(U57="","","◄")</f>
        <v/>
      </c>
      <c r="U57" s="562" t="str">
        <f ca="1">IF(AND(OR(S69&gt;0,COUNTIF(ORÇAMENTO!$V$15:$V$44,BDI_2.Título)&gt;0),OR(Import.BDI.Tipo2="(SELECIONAR)",Import.BDI.Tipo2="")),"Selecione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692" t="s">
        <v>666</v>
      </c>
      <c r="K59" s="692"/>
      <c r="L59" s="692"/>
      <c r="M59" s="692"/>
      <c r="N59" s="692"/>
      <c r="O59" s="692"/>
      <c r="P59" s="692"/>
      <c r="Q59" s="692"/>
      <c r="R59" s="692" t="s">
        <v>667</v>
      </c>
      <c r="S59" s="691" t="s">
        <v>668</v>
      </c>
      <c r="U59" s="691" t="s">
        <v>669</v>
      </c>
      <c r="V59" s="691"/>
      <c r="W59" s="691"/>
      <c r="X59" s="689" t="s">
        <v>670</v>
      </c>
      <c r="Y59" s="689" t="s">
        <v>671</v>
      </c>
      <c r="Z59" s="689" t="s">
        <v>672</v>
      </c>
    </row>
    <row r="60" spans="1:26" ht="12.75" customHeight="1" x14ac:dyDescent="0.2">
      <c r="A60"/>
      <c r="B60"/>
      <c r="C60"/>
      <c r="D60"/>
      <c r="E60"/>
      <c r="F60"/>
      <c r="G60"/>
      <c r="I60" t="str">
        <f t="shared" ca="1" si="3"/>
        <v>F</v>
      </c>
      <c r="J60" s="692"/>
      <c r="K60" s="692"/>
      <c r="L60" s="692"/>
      <c r="M60" s="692"/>
      <c r="N60" s="692"/>
      <c r="O60" s="692"/>
      <c r="P60" s="692"/>
      <c r="Q60" s="692"/>
      <c r="R60" s="692"/>
      <c r="S60" s="691"/>
      <c r="U60" s="691"/>
      <c r="V60" s="691"/>
      <c r="W60" s="691"/>
      <c r="X60" s="689"/>
      <c r="Y60" s="689"/>
      <c r="Z60" s="689"/>
    </row>
    <row r="61" spans="1:26" ht="15" customHeight="1" x14ac:dyDescent="0.2">
      <c r="A61"/>
      <c r="B61"/>
      <c r="C61"/>
      <c r="D61"/>
      <c r="E61"/>
      <c r="F61"/>
      <c r="G61"/>
      <c r="I61" t="str">
        <f t="shared" ca="1" si="3"/>
        <v>F</v>
      </c>
      <c r="J61" s="694" t="str">
        <f>IF($J$57=$A$146,"Encargos Sociais incidentes sobre a mão de obra","Administração Central")</f>
        <v>Administração Central</v>
      </c>
      <c r="K61" s="694"/>
      <c r="L61" s="694"/>
      <c r="M61" s="694"/>
      <c r="N61" s="694"/>
      <c r="O61" s="694"/>
      <c r="P61" s="694"/>
      <c r="Q61" s="694"/>
      <c r="R61" s="60" t="str">
        <f>IF($J57=$A$146,"K1","AC")</f>
        <v>AC</v>
      </c>
      <c r="S61" s="61">
        <v>1.9900000000000001E-2</v>
      </c>
      <c r="T61" s="572" t="str">
        <f ca="1">IF(AND($U$54&lt;&gt;"",$U$57="",R61&lt;&gt;"",S61=""),"◄","")</f>
        <v/>
      </c>
      <c r="U61" s="695" t="str">
        <f ca="1">IFERROR(IF(T61="◄","FALTA PREENCHER",IF(AND(OR(S61&gt;=X61,X61="-"),OR(S61&lt;=Z61,Z61="-")),"OK","FORA DO INTERVALO")),"-")</f>
        <v>OK</v>
      </c>
      <c r="V61" s="695"/>
      <c r="W61" s="695"/>
      <c r="X61" s="62">
        <f>VLOOKUP(CONCATENATE(J57,"-",R61),$C$2:$G$136,3,FALSE)</f>
        <v>1.4999999999999999E-2</v>
      </c>
      <c r="Y61" s="62">
        <f>VLOOKUP(CONCATENATE(J57,"-",R61),$C$2:$G$136,4,FALSE)</f>
        <v>3.4500000000000003E-2</v>
      </c>
      <c r="Z61" s="62">
        <f>VLOOKUP(CONCATENATE(J57,"-",R61),$C$2:$G$136,5,FALSE)</f>
        <v>4.4900000000000002E-2</v>
      </c>
    </row>
    <row r="62" spans="1:26" ht="15" customHeight="1" x14ac:dyDescent="0.2">
      <c r="A62"/>
      <c r="B62"/>
      <c r="C62"/>
      <c r="D62"/>
      <c r="E62"/>
      <c r="F62"/>
      <c r="G62"/>
      <c r="I62" t="str">
        <f t="shared" ca="1" si="3"/>
        <v>F</v>
      </c>
      <c r="J62" s="694" t="str">
        <f>IF($J$57=$A$146,"Administração Central da empresa ou consultoria - overhead","Seguro e Garantia")</f>
        <v>Seguro e Garantia</v>
      </c>
      <c r="K62" s="694"/>
      <c r="L62" s="694"/>
      <c r="M62" s="694"/>
      <c r="N62" s="694"/>
      <c r="O62" s="694"/>
      <c r="P62" s="694"/>
      <c r="Q62" s="694"/>
      <c r="R62" s="60" t="str">
        <f>IF($J57=$A$146,"K2","SG")</f>
        <v>SG</v>
      </c>
      <c r="S62" s="61">
        <v>3.0000000000000001E-3</v>
      </c>
      <c r="T62" s="572" t="str">
        <f t="shared" ref="T62:T66" ca="1" si="4">IF(AND($U$54&lt;&gt;"",$U$57="",R62&lt;&gt;"",S62=""),"◄","")</f>
        <v/>
      </c>
      <c r="U62" s="695" t="str">
        <f t="shared" ref="U62:U68" ca="1" si="5">IFERROR(IF(T62="◄","FALTA PREENCHER",IF(AND(OR(S62&gt;=X62,X62="-"),OR(S62&lt;=Z62,Z62="-")),"OK","FORA DO INTERVALO")),"-")</f>
        <v>OK</v>
      </c>
      <c r="V62" s="695"/>
      <c r="W62" s="695"/>
      <c r="X62" s="62">
        <f>VLOOKUP(CONCATENATE(J57,"-",R62),$C$2:$G$136,3,FALSE)</f>
        <v>3.0000000000000001E-3</v>
      </c>
      <c r="Y62" s="62">
        <f>VLOOKUP(CONCATENATE(J57,"-",R62),$C$2:$G$136,4,FALSE)</f>
        <v>4.7999999999999996E-3</v>
      </c>
      <c r="Z62" s="62">
        <f>VLOOKUP(CONCATENATE(J57,"-",R62),$C$2:$G$136,5,FALSE)</f>
        <v>8.199999999999999E-3</v>
      </c>
    </row>
    <row r="63" spans="1:26" ht="15" customHeight="1" x14ac:dyDescent="0.2">
      <c r="A63"/>
      <c r="B63"/>
      <c r="C63"/>
      <c r="D63"/>
      <c r="E63"/>
      <c r="F63"/>
      <c r="G63"/>
      <c r="I63" t="str">
        <f t="shared" ca="1" si="3"/>
        <v>F</v>
      </c>
      <c r="J63" s="694" t="s">
        <v>942</v>
      </c>
      <c r="K63" s="694"/>
      <c r="L63" s="694"/>
      <c r="M63" s="694"/>
      <c r="N63" s="694"/>
      <c r="O63" s="694"/>
      <c r="P63" s="694"/>
      <c r="Q63" s="694"/>
      <c r="R63" s="60" t="str">
        <f>IF($J57=$A$146,"","R")</f>
        <v>R</v>
      </c>
      <c r="S63" s="61">
        <v>5.5999999999999999E-3</v>
      </c>
      <c r="T63" s="572" t="str">
        <f t="shared" ca="1" si="4"/>
        <v/>
      </c>
      <c r="U63" s="695" t="str">
        <f t="shared" ca="1" si="5"/>
        <v>OK</v>
      </c>
      <c r="V63" s="695"/>
      <c r="W63" s="695"/>
      <c r="X63" s="62">
        <f>VLOOKUP(CONCATENATE(J57,"-",R63),$C$2:$G$136,3,FALSE)</f>
        <v>5.6000000000000008E-3</v>
      </c>
      <c r="Y63" s="62">
        <f>VLOOKUP(CONCATENATE(J57,"-",R63),$C$2:$G$136,4,FALSE)</f>
        <v>8.5000000000000006E-3</v>
      </c>
      <c r="Z63" s="62">
        <f>VLOOKUP(CONCATENATE(J57,"-",R63),$C$2:$G$136,5,FALSE)</f>
        <v>8.8999999999999999E-3</v>
      </c>
    </row>
    <row r="64" spans="1:26" ht="15" customHeight="1" x14ac:dyDescent="0.2">
      <c r="A64"/>
      <c r="B64"/>
      <c r="C64"/>
      <c r="D64"/>
      <c r="E64"/>
      <c r="F64"/>
      <c r="G64"/>
      <c r="I64" t="str">
        <f t="shared" ca="1" si="3"/>
        <v>F</v>
      </c>
      <c r="J64" s="694" t="s">
        <v>943</v>
      </c>
      <c r="K64" s="694"/>
      <c r="L64" s="694"/>
      <c r="M64" s="694"/>
      <c r="N64" s="694"/>
      <c r="O64" s="694"/>
      <c r="P64" s="694"/>
      <c r="Q64" s="694"/>
      <c r="R64" s="60" t="str">
        <f>IF($J57=$A$146,"","DF")</f>
        <v>DF</v>
      </c>
      <c r="S64" s="61">
        <v>8.5000000000000006E-3</v>
      </c>
      <c r="T64" s="572" t="str">
        <f t="shared" ca="1" si="4"/>
        <v/>
      </c>
      <c r="U64" s="695" t="str">
        <f t="shared" ca="1" si="5"/>
        <v>OK</v>
      </c>
      <c r="V64" s="695"/>
      <c r="W64" s="695"/>
      <c r="X64" s="62">
        <f>VLOOKUP(CONCATENATE(J57,"-",R64),$C$2:$G$136,3,FALSE)</f>
        <v>8.5000000000000006E-3</v>
      </c>
      <c r="Y64" s="62">
        <f>VLOOKUP(CONCATENATE(J57,"-",R64),$C$2:$G$136,4,FALSE)</f>
        <v>8.5000000000000006E-3</v>
      </c>
      <c r="Z64" s="62">
        <f>VLOOKUP(CONCATENATE(J57,"-",R64),$C$2:$G$136,5,FALSE)</f>
        <v>1.11E-2</v>
      </c>
    </row>
    <row r="65" spans="1:26" ht="15" customHeight="1" x14ac:dyDescent="0.2">
      <c r="A65"/>
      <c r="B65"/>
      <c r="C65"/>
      <c r="D65"/>
      <c r="E65"/>
      <c r="F65"/>
      <c r="G65"/>
      <c r="I65" t="str">
        <f t="shared" ca="1" si="3"/>
        <v>F</v>
      </c>
      <c r="J65" s="694" t="str">
        <f>IF($J$57=$A$146,"Margem bruta da empresa de consultoria","Lucro")</f>
        <v>Lucro</v>
      </c>
      <c r="K65" s="694"/>
      <c r="L65" s="694"/>
      <c r="M65" s="694"/>
      <c r="N65" s="694"/>
      <c r="O65" s="694"/>
      <c r="P65" s="694"/>
      <c r="Q65" s="694"/>
      <c r="R65" s="60" t="str">
        <f>IF($J57=$A$146,"K3","L")</f>
        <v>L</v>
      </c>
      <c r="S65" s="61">
        <v>3.5000000000000003E-2</v>
      </c>
      <c r="T65" s="572" t="str">
        <f t="shared" ca="1" si="4"/>
        <v/>
      </c>
      <c r="U65" s="695" t="str">
        <f t="shared" ca="1" si="5"/>
        <v>OK</v>
      </c>
      <c r="V65" s="695"/>
      <c r="W65" s="695"/>
      <c r="X65" s="62">
        <f>VLOOKUP(CONCATENATE(J57,"-",R65),$C$2:$G$136,3,FALSE)</f>
        <v>3.5000000000000003E-2</v>
      </c>
      <c r="Y65" s="62">
        <f>VLOOKUP(CONCATENATE(J57,"-",R65),$C$2:$G$136,4,FALSE)</f>
        <v>5.1100000000000007E-2</v>
      </c>
      <c r="Z65" s="62">
        <f>VLOOKUP(CONCATENATE(J57,"-",R65),$C$2:$G$136,5,FALSE)</f>
        <v>6.2199999999999998E-2</v>
      </c>
    </row>
    <row r="66" spans="1:26" ht="15" customHeight="1" x14ac:dyDescent="0.2">
      <c r="A66"/>
      <c r="B66"/>
      <c r="C66"/>
      <c r="D66"/>
      <c r="E66"/>
      <c r="F66"/>
      <c r="G66"/>
      <c r="I66" t="str">
        <f t="shared" ca="1" si="3"/>
        <v>F</v>
      </c>
      <c r="J66" s="694" t="s">
        <v>675</v>
      </c>
      <c r="K66" s="694"/>
      <c r="L66" s="694"/>
      <c r="M66" s="694"/>
      <c r="N66" s="694"/>
      <c r="O66" s="694"/>
      <c r="P66" s="694"/>
      <c r="Q66" s="694"/>
      <c r="R66" s="60" t="s">
        <v>456</v>
      </c>
      <c r="S66" s="61">
        <v>3.6499999999999998E-2</v>
      </c>
      <c r="T66" s="572" t="str">
        <f t="shared" ca="1" si="4"/>
        <v/>
      </c>
      <c r="U66" s="695" t="str">
        <f t="shared" ca="1" si="5"/>
        <v>OK</v>
      </c>
      <c r="V66" s="695"/>
      <c r="W66" s="695"/>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694" t="s">
        <v>676</v>
      </c>
      <c r="K67" s="694"/>
      <c r="L67" s="694"/>
      <c r="M67" s="694"/>
      <c r="N67" s="694"/>
      <c r="O67" s="694"/>
      <c r="P67" s="694"/>
      <c r="Q67" s="694"/>
      <c r="R67" s="60" t="s">
        <v>677</v>
      </c>
      <c r="S67" s="62">
        <f ca="1">IF(AND($J57&lt;&gt;$A$145,COUNTA(OFFSET(S60,1,0,6))&gt;0),$R$11*$R$10,0)</f>
        <v>0.03</v>
      </c>
      <c r="U67" s="695" t="str">
        <f t="shared" ca="1" si="5"/>
        <v>OK</v>
      </c>
      <c r="V67" s="695"/>
      <c r="W67" s="695"/>
      <c r="X67" s="62">
        <v>0</v>
      </c>
      <c r="Y67" s="62">
        <v>2.5000000000000001E-2</v>
      </c>
      <c r="Z67" s="62">
        <v>0.05</v>
      </c>
    </row>
    <row r="68" spans="1:26" ht="15" customHeight="1" x14ac:dyDescent="0.2">
      <c r="A68"/>
      <c r="B68"/>
      <c r="C68"/>
      <c r="D68"/>
      <c r="E68"/>
      <c r="F68"/>
      <c r="G68"/>
      <c r="I68" t="str">
        <f t="shared" ca="1" si="3"/>
        <v>F</v>
      </c>
      <c r="J68" s="694" t="s">
        <v>678</v>
      </c>
      <c r="K68" s="694"/>
      <c r="L68" s="694"/>
      <c r="M68" s="694"/>
      <c r="N68" s="694"/>
      <c r="O68" s="694"/>
      <c r="P68" s="694"/>
      <c r="Q68" s="694"/>
      <c r="R68" s="60" t="s">
        <v>679</v>
      </c>
      <c r="S68" s="62" cm="1">
        <f t="array" aca="1" ref="S68" ca="1">IF(BDI.Opcao&lt;&gt;"Desonerado",0,IF(AND($J57&lt;&gt;$A$145,COUNTA(OFFSET(S60,1,0,6))&gt;0),IF(YEAR(Import.DataBase)&lt;2025,4.5%,IF(YEAR(Import.DataBase)=2025,3.6%,IF(YEAR(Import.DataBase)=2026,2.7%,IF(YEAR(Import.DataBase)=2027,1.8%,0%)))),0%))</f>
        <v>0</v>
      </c>
      <c r="U68" s="695" t="str">
        <f t="shared" ca="1" si="5"/>
        <v>OK</v>
      </c>
      <c r="V68" s="695"/>
      <c r="W68" s="695"/>
      <c r="X68" s="63">
        <f ca="1">$S68</f>
        <v>0</v>
      </c>
      <c r="Y68" s="63">
        <f ca="1">$S68</f>
        <v>0</v>
      </c>
      <c r="Z68" s="63">
        <f ca="1">$S68</f>
        <v>0</v>
      </c>
    </row>
    <row r="69" spans="1:26" ht="15" customHeight="1" x14ac:dyDescent="0.2">
      <c r="A69"/>
      <c r="B69"/>
      <c r="C69"/>
      <c r="D69"/>
      <c r="E69"/>
      <c r="F69"/>
      <c r="G69"/>
      <c r="I69" t="str">
        <f t="shared" ca="1" si="3"/>
        <v>F</v>
      </c>
      <c r="J69" s="694" t="s">
        <v>680</v>
      </c>
      <c r="K69" s="694"/>
      <c r="L69" s="694"/>
      <c r="M69" s="694"/>
      <c r="N69" s="694"/>
      <c r="O69" s="694"/>
      <c r="P69" s="694"/>
      <c r="Q69" s="694"/>
      <c r="R69" s="64" t="s">
        <v>656</v>
      </c>
      <c r="S69" s="62">
        <f ca="1">IF($J57=$A$145,0,ROUND((((1+S61+S62+S63)*(1+S64)*(1+S65)/(1-(S66+S67)))-1),4))</f>
        <v>0.15</v>
      </c>
      <c r="U69" s="691" t="str">
        <f ca="1">IFERROR(IF(AND(OR(S69&gt;=X69,X69="-"),OR(S69&lt;=Z69,Z69="-")),"OK","FORA DO INTERVALO"),IF(S69=0,"OK","Selecione o Tipo de obra"))</f>
        <v>OK</v>
      </c>
      <c r="V69" s="691"/>
      <c r="W69" s="691"/>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
      <c r="A70"/>
      <c r="B70"/>
      <c r="C70"/>
      <c r="D70"/>
      <c r="E70"/>
      <c r="F70"/>
      <c r="G70"/>
      <c r="I70" t="str">
        <f t="shared" ca="1" si="3"/>
        <v>F</v>
      </c>
      <c r="J70" s="698" t="s">
        <v>681</v>
      </c>
      <c r="K70" s="698"/>
      <c r="L70" s="698"/>
      <c r="M70" s="698"/>
      <c r="N70" s="698"/>
      <c r="O70" s="698"/>
      <c r="P70" s="698"/>
      <c r="Q70" s="698"/>
      <c r="R70" s="65" t="s">
        <v>682</v>
      </c>
      <c r="S70" s="66">
        <f ca="1">IF($J57=$A$145,0,ROUND((((1+S61+S62+S63)*(1+S64)*(1+S65)/(1-(S66+S67+S68)))-1),4))</f>
        <v>0.15</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699" t="str">
        <f ca="1">IF(U69&lt;&gt;"ok","Anexo: Relatório Técnico Circunstanciado justificando a adoção do percentual de cada parcela do BDI.","")</f>
        <v/>
      </c>
      <c r="L72" s="699"/>
      <c r="M72" s="699"/>
      <c r="N72" s="699"/>
      <c r="O72" s="699"/>
      <c r="P72" s="699"/>
      <c r="Q72" s="699"/>
      <c r="R72" s="699"/>
      <c r="S72" s="699"/>
    </row>
    <row r="73" spans="1:26" x14ac:dyDescent="0.2">
      <c r="A73"/>
      <c r="B73"/>
      <c r="C73"/>
      <c r="D73"/>
      <c r="E73"/>
      <c r="F73"/>
      <c r="G73"/>
      <c r="I73" t="str">
        <f t="shared" ca="1" si="3"/>
        <v>F</v>
      </c>
    </row>
    <row r="74" spans="1:26" x14ac:dyDescent="0.2">
      <c r="A74"/>
      <c r="B74"/>
      <c r="C74"/>
      <c r="D74"/>
      <c r="E74"/>
      <c r="F74"/>
      <c r="G74"/>
      <c r="I74" t="str">
        <f t="shared" ca="1" si="3"/>
        <v>F</v>
      </c>
      <c r="J74" s="700" t="s">
        <v>683</v>
      </c>
      <c r="K74" s="700"/>
      <c r="L74" s="700"/>
      <c r="M74" s="700"/>
      <c r="N74" s="700"/>
      <c r="O74" s="700"/>
      <c r="P74" s="700"/>
      <c r="Q74" s="700"/>
      <c r="R74" s="700"/>
      <c r="S74" s="700"/>
    </row>
    <row r="75" spans="1:26" ht="15.75" x14ac:dyDescent="0.25">
      <c r="A75"/>
      <c r="B75"/>
      <c r="C75"/>
      <c r="D75"/>
      <c r="E75"/>
      <c r="F75"/>
      <c r="G75"/>
      <c r="I75" t="str">
        <f t="shared" ca="1" si="3"/>
        <v>F</v>
      </c>
      <c r="J75" s="68"/>
      <c r="K75" s="68"/>
      <c r="L75" s="68"/>
      <c r="M75" s="701" t="s">
        <v>684</v>
      </c>
      <c r="N75" s="707" t="str">
        <f>IF($J57=$A$146,"(1+K1+K2)*(1+K3)","(1+AC + S + R + G)*(1 + DF)*(1+L)")</f>
        <v>(1+AC + S + R + G)*(1 + DF)*(1+L)</v>
      </c>
      <c r="O75" s="707"/>
      <c r="P75" s="707"/>
      <c r="Q75" s="708" t="s">
        <v>685</v>
      </c>
      <c r="R75" s="68"/>
      <c r="S75" s="68"/>
    </row>
    <row r="76" spans="1:26" ht="15.75" x14ac:dyDescent="0.2">
      <c r="A76"/>
      <c r="B76"/>
      <c r="C76"/>
      <c r="D76"/>
      <c r="E76"/>
      <c r="F76"/>
      <c r="G76"/>
      <c r="I76" t="str">
        <f t="shared" ca="1" si="3"/>
        <v>F</v>
      </c>
      <c r="J76" s="68"/>
      <c r="K76" s="68"/>
      <c r="L76" s="68"/>
      <c r="M76" s="701"/>
      <c r="N76" s="696" t="s">
        <v>686</v>
      </c>
      <c r="O76" s="696"/>
      <c r="P76" s="696"/>
      <c r="Q76" s="708"/>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697"/>
      <c r="L78" s="697"/>
      <c r="M78" s="697"/>
      <c r="N78" s="697"/>
      <c r="O78" s="697"/>
      <c r="P78" s="697"/>
      <c r="Q78" s="697"/>
      <c r="R78" s="697"/>
      <c r="S78" s="697"/>
    </row>
    <row r="79" spans="1:26" x14ac:dyDescent="0.2">
      <c r="A79"/>
      <c r="B79"/>
      <c r="C79"/>
      <c r="D79"/>
      <c r="E79"/>
      <c r="F79"/>
      <c r="G79"/>
      <c r="I79" t="str">
        <f t="shared" ca="1" si="3"/>
        <v>F</v>
      </c>
    </row>
    <row r="80" spans="1:26" ht="50.1" customHeight="1" x14ac:dyDescent="0.2">
      <c r="A80"/>
      <c r="B80"/>
      <c r="C80"/>
      <c r="D80"/>
      <c r="E80"/>
      <c r="F80"/>
      <c r="G80"/>
      <c r="I80" t="str">
        <f t="shared" ca="1" si="3"/>
        <v>F</v>
      </c>
      <c r="J80" s="697"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7"/>
      <c r="L80" s="697"/>
      <c r="M80" s="697"/>
      <c r="N80" s="697"/>
      <c r="O80" s="697"/>
      <c r="P80" s="697"/>
      <c r="Q80" s="697"/>
      <c r="R80" s="697"/>
      <c r="S80" s="697"/>
    </row>
    <row r="81" spans="1:21" x14ac:dyDescent="0.2">
      <c r="A81"/>
      <c r="B81"/>
      <c r="C81"/>
      <c r="D81"/>
      <c r="E81"/>
      <c r="F81"/>
      <c r="G81"/>
      <c r="I81" t="str">
        <f t="shared" ca="1" si="3"/>
        <v>F</v>
      </c>
    </row>
    <row r="82" spans="1:21" x14ac:dyDescent="0.2">
      <c r="A82"/>
      <c r="B82"/>
      <c r="C82"/>
      <c r="D82"/>
      <c r="E82"/>
      <c r="F82"/>
      <c r="G82"/>
      <c r="I82" t="str">
        <f t="shared" ca="1" si="3"/>
        <v>F</v>
      </c>
      <c r="J82" s="49" t="s">
        <v>689</v>
      </c>
    </row>
    <row r="83" spans="1:21" ht="99.95" customHeight="1" x14ac:dyDescent="0.2">
      <c r="A83"/>
      <c r="B83"/>
      <c r="C83"/>
      <c r="D83"/>
      <c r="E83"/>
      <c r="F83"/>
      <c r="G83"/>
      <c r="I83" t="str">
        <f t="shared" ca="1" si="3"/>
        <v>F</v>
      </c>
      <c r="J83" s="709"/>
      <c r="K83" s="709"/>
      <c r="L83" s="709"/>
      <c r="M83" s="709"/>
      <c r="N83" s="709"/>
      <c r="O83" s="709"/>
      <c r="P83" s="709"/>
      <c r="Q83" s="709"/>
      <c r="R83" s="709"/>
      <c r="S83" s="709"/>
    </row>
    <row r="84" spans="1:21" x14ac:dyDescent="0.2">
      <c r="A84"/>
      <c r="B84"/>
      <c r="C84"/>
      <c r="D84"/>
      <c r="E84"/>
      <c r="F84"/>
      <c r="G84"/>
      <c r="I84" t="str">
        <f t="shared" ca="1" si="3"/>
        <v>F</v>
      </c>
    </row>
    <row r="85" spans="1:21" x14ac:dyDescent="0.2">
      <c r="A85"/>
      <c r="B85"/>
      <c r="C85"/>
      <c r="D85"/>
      <c r="E85"/>
      <c r="F85"/>
      <c r="G85"/>
      <c r="I85" t="str">
        <f t="shared" ca="1" si="3"/>
        <v>F</v>
      </c>
      <c r="J85" s="703" t="str">
        <f>Import.Município</f>
        <v>Ivorá/RS</v>
      </c>
      <c r="K85" s="703"/>
      <c r="L85" s="703"/>
      <c r="M85" s="703"/>
      <c r="P85" s="704">
        <f>DADOS!$C$25</f>
        <v>46169</v>
      </c>
      <c r="Q85" s="704"/>
      <c r="R85" s="704"/>
      <c r="S85" s="704"/>
    </row>
    <row r="86" spans="1:21" x14ac:dyDescent="0.2">
      <c r="A86"/>
      <c r="B86"/>
      <c r="C86"/>
      <c r="D86"/>
      <c r="E86"/>
      <c r="F86"/>
      <c r="G86"/>
      <c r="I86" t="str">
        <f t="shared" ca="1" si="3"/>
        <v>F</v>
      </c>
      <c r="J86" s="705" t="s">
        <v>693</v>
      </c>
      <c r="K86" s="705"/>
      <c r="L86" s="705"/>
      <c r="M86" s="705"/>
      <c r="O86" s="73"/>
      <c r="P86" s="74" t="s">
        <v>694</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706"/>
      <c r="K88" s="706"/>
      <c r="L88" s="706"/>
      <c r="M88" s="706"/>
      <c r="N88" s="76"/>
    </row>
    <row r="89" spans="1:21" x14ac:dyDescent="0.2">
      <c r="A89"/>
      <c r="B89"/>
      <c r="C89"/>
      <c r="D89"/>
      <c r="E89"/>
      <c r="F89"/>
      <c r="G89"/>
      <c r="I89" t="str">
        <f t="shared" ca="1" si="3"/>
        <v>F</v>
      </c>
      <c r="J89" s="702" t="s">
        <v>696</v>
      </c>
      <c r="K89" s="702"/>
      <c r="L89" s="702"/>
      <c r="M89" s="702"/>
    </row>
    <row r="90" spans="1:21" ht="14.25" x14ac:dyDescent="0.2">
      <c r="A90"/>
      <c r="B90"/>
      <c r="C90"/>
      <c r="D90"/>
      <c r="E90"/>
      <c r="F90"/>
      <c r="G90"/>
      <c r="I90" t="str">
        <f t="shared" ca="1" si="3"/>
        <v>F</v>
      </c>
      <c r="J90" s="77" t="s">
        <v>240</v>
      </c>
      <c r="K90" s="78" t="str">
        <f t="array" ref="K90:K92">Import.RespOrçamento</f>
        <v>Vitor Camargo Costa</v>
      </c>
      <c r="L90" s="79"/>
      <c r="M90" s="79"/>
      <c r="N90" s="76"/>
    </row>
    <row r="91" spans="1:21" ht="14.25" x14ac:dyDescent="0.2">
      <c r="A91"/>
      <c r="B91"/>
      <c r="C91"/>
      <c r="D91"/>
      <c r="E91"/>
      <c r="F91"/>
      <c r="G91"/>
      <c r="I91" t="str">
        <f t="shared" ca="1" si="3"/>
        <v>F</v>
      </c>
      <c r="J91" s="77" t="s">
        <v>243</v>
      </c>
      <c r="K91" s="78" t="str">
        <v>RS 203284</v>
      </c>
      <c r="L91" s="79"/>
      <c r="M91" s="79"/>
      <c r="N91" s="76"/>
    </row>
    <row r="92" spans="1:21" ht="14.25" x14ac:dyDescent="0.2">
      <c r="A92"/>
      <c r="B92"/>
      <c r="C92"/>
      <c r="D92"/>
      <c r="E92"/>
      <c r="F92"/>
      <c r="G92"/>
      <c r="I92" t="str">
        <f t="shared" ca="1" si="3"/>
        <v>F</v>
      </c>
      <c r="J92" s="77" t="s">
        <v>246</v>
      </c>
      <c r="K92" s="78">
        <v>14443886</v>
      </c>
      <c r="L92" s="79"/>
      <c r="M92" s="79"/>
      <c r="N92" s="76"/>
    </row>
    <row r="93" spans="1:21" ht="14.25" x14ac:dyDescent="0.2">
      <c r="A93"/>
      <c r="B93"/>
      <c r="C93"/>
      <c r="D93"/>
      <c r="E93"/>
      <c r="F93"/>
      <c r="G93"/>
      <c r="I93" t="str">
        <f t="shared" ca="1" si="3"/>
        <v>F</v>
      </c>
      <c r="J93" s="77"/>
      <c r="K93" s="80"/>
      <c r="L93" s="79"/>
      <c r="M93" s="79"/>
      <c r="N93" s="76"/>
    </row>
    <row r="94" spans="1:21" ht="15.75" x14ac:dyDescent="0.25">
      <c r="A94"/>
      <c r="B94"/>
      <c r="C94"/>
      <c r="D94"/>
      <c r="E94"/>
      <c r="F94"/>
      <c r="G94"/>
      <c r="I94" t="str">
        <f ca="1">IF($S$109=0,"","F")</f>
        <v/>
      </c>
      <c r="J94" s="693" t="s">
        <v>698</v>
      </c>
      <c r="K94" s="693"/>
      <c r="L94" s="693"/>
      <c r="M94" s="693"/>
      <c r="N94" s="693"/>
      <c r="O94" s="693"/>
      <c r="P94" s="693"/>
      <c r="Q94" s="693"/>
      <c r="R94" s="693"/>
      <c r="S94" s="693"/>
      <c r="U94" s="521" t="str">
        <f>IF(COUNTIF(ORÇAMENTO!$V$15:$V$44,BDI_3.Título)=0,"",IF(OR(Import.BDI.Tipo3="(SELECIONAR)",Import.BDI.Tipo3="",U97&lt;&gt;"",AND($J97&lt;&gt;$A$145,OR(S101="",S102="",AND($J97&lt;&gt;$A$146,OR(S103="",S104="")),S105="",S106=""))),"Falta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84" t="s">
        <v>664</v>
      </c>
      <c r="K96" s="684"/>
      <c r="L96" s="684"/>
      <c r="M96" s="684"/>
      <c r="N96" s="684"/>
      <c r="O96" s="684"/>
      <c r="P96" s="684"/>
      <c r="Q96" s="684"/>
      <c r="R96" s="684"/>
      <c r="S96" s="684"/>
    </row>
    <row r="97" spans="1:26" ht="15" x14ac:dyDescent="0.25">
      <c r="A97"/>
      <c r="B97"/>
      <c r="C97"/>
      <c r="D97"/>
      <c r="E97"/>
      <c r="F97"/>
      <c r="G97"/>
      <c r="I97" t="str">
        <f t="shared" ca="1" si="6"/>
        <v/>
      </c>
      <c r="J97" s="690" t="s">
        <v>139</v>
      </c>
      <c r="K97" s="690"/>
      <c r="L97" s="690"/>
      <c r="M97" s="690"/>
      <c r="N97" s="690"/>
      <c r="O97" s="690"/>
      <c r="P97" s="690"/>
      <c r="Q97" s="690"/>
      <c r="R97" s="690"/>
      <c r="S97" s="690"/>
      <c r="T97" s="563" t="str">
        <f ca="1">IF(U97="","","◄")</f>
        <v/>
      </c>
      <c r="U97" s="562" t="str">
        <f ca="1">IF(AND(OR(S109&gt;0,COUNTIF(ORÇAMENTO!$V$15:$V$44,BDI_3.Título)&gt;0),OR(Import.BDI.Tipo3="(SELECIONAR)",Import.BDI.Tipo3="")),"Selecione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2" t="s">
        <v>666</v>
      </c>
      <c r="K99" s="692"/>
      <c r="L99" s="692"/>
      <c r="M99" s="692"/>
      <c r="N99" s="692"/>
      <c r="O99" s="692"/>
      <c r="P99" s="692"/>
      <c r="Q99" s="692"/>
      <c r="R99" s="692" t="s">
        <v>667</v>
      </c>
      <c r="S99" s="691" t="s">
        <v>668</v>
      </c>
      <c r="U99" s="691" t="s">
        <v>669</v>
      </c>
      <c r="V99" s="691"/>
      <c r="W99" s="691"/>
      <c r="X99" s="689" t="s">
        <v>670</v>
      </c>
      <c r="Y99" s="689" t="s">
        <v>671</v>
      </c>
      <c r="Z99" s="689" t="s">
        <v>672</v>
      </c>
    </row>
    <row r="100" spans="1:26" ht="12.75" customHeight="1" x14ac:dyDescent="0.2">
      <c r="A100"/>
      <c r="B100"/>
      <c r="C100"/>
      <c r="D100"/>
      <c r="E100"/>
      <c r="F100"/>
      <c r="G100"/>
      <c r="I100" t="str">
        <f t="shared" ca="1" si="6"/>
        <v/>
      </c>
      <c r="J100" s="692"/>
      <c r="K100" s="692"/>
      <c r="L100" s="692"/>
      <c r="M100" s="692"/>
      <c r="N100" s="692"/>
      <c r="O100" s="692"/>
      <c r="P100" s="692"/>
      <c r="Q100" s="692"/>
      <c r="R100" s="692"/>
      <c r="S100" s="691"/>
      <c r="U100" s="691"/>
      <c r="V100" s="691"/>
      <c r="W100" s="691"/>
      <c r="X100" s="689"/>
      <c r="Y100" s="689"/>
      <c r="Z100" s="689"/>
    </row>
    <row r="101" spans="1:26" ht="15" customHeight="1" x14ac:dyDescent="0.2">
      <c r="A101"/>
      <c r="B101"/>
      <c r="C101"/>
      <c r="D101"/>
      <c r="E101"/>
      <c r="F101"/>
      <c r="G101"/>
      <c r="I101" t="str">
        <f t="shared" ca="1" si="6"/>
        <v/>
      </c>
      <c r="J101" s="694" t="str">
        <f>IF($J$97=$A$146,"Encargos Sociais incidentes sobre a mão de obra","Administração Central")</f>
        <v>Administração Central</v>
      </c>
      <c r="K101" s="694"/>
      <c r="L101" s="694"/>
      <c r="M101" s="694"/>
      <c r="N101" s="694"/>
      <c r="O101" s="694"/>
      <c r="P101" s="694"/>
      <c r="Q101" s="694"/>
      <c r="R101" s="60" t="str">
        <f>IF($J97=$A$146,"K1","AC")</f>
        <v>AC</v>
      </c>
      <c r="S101" s="61"/>
      <c r="T101" s="572" t="str">
        <f ca="1">IF(AND($U$94&lt;&gt;"",$U$97="",R101&lt;&gt;"",S101=""),"◄","")</f>
        <v/>
      </c>
      <c r="U101" s="695" t="str">
        <f ca="1">IFERROR(IF(T101="◄","FALTA PREENCHER",IF(AND(OR(S101&gt;=X101,X101="-"),OR(S101&lt;=Z101,Z101="-")),"OK","FORA DO INTERVALO")),"-")</f>
        <v>-</v>
      </c>
      <c r="V101" s="695"/>
      <c r="W101" s="695"/>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4" t="str">
        <f>IF($J$97=$A$146,"Administração Central da empresa ou consultoria - overhead","Seguro e Garantia")</f>
        <v>Seguro e Garantia</v>
      </c>
      <c r="K102" s="694"/>
      <c r="L102" s="694"/>
      <c r="M102" s="694"/>
      <c r="N102" s="694"/>
      <c r="O102" s="694"/>
      <c r="P102" s="694"/>
      <c r="Q102" s="694"/>
      <c r="R102" s="60" t="str">
        <f>IF($J97=$A$146,"K2","SG")</f>
        <v>SG</v>
      </c>
      <c r="S102" s="61"/>
      <c r="T102" s="572" t="str">
        <f t="shared" ref="T102:T106" ca="1" si="7">IF(AND($U$94&lt;&gt;"",$U$97="",R102&lt;&gt;"",S102=""),"◄","")</f>
        <v/>
      </c>
      <c r="U102" s="695" t="str">
        <f t="shared" ref="U102:U108" ca="1" si="8">IFERROR(IF(T102="◄","FALTA PREENCHER",IF(AND(OR(S102&gt;=X102,X102="-"),OR(S102&lt;=Z102,Z102="-")),"OK","FORA DO INTERVALO")),"-")</f>
        <v>-</v>
      </c>
      <c r="V102" s="695"/>
      <c r="W102" s="695"/>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4" t="s">
        <v>942</v>
      </c>
      <c r="K103" s="694"/>
      <c r="L103" s="694"/>
      <c r="M103" s="694"/>
      <c r="N103" s="694"/>
      <c r="O103" s="694"/>
      <c r="P103" s="694"/>
      <c r="Q103" s="694"/>
      <c r="R103" s="60" t="str">
        <f>IF($J97=$A$146,"","R")</f>
        <v>R</v>
      </c>
      <c r="S103" s="61"/>
      <c r="T103" s="572" t="str">
        <f t="shared" ca="1" si="7"/>
        <v/>
      </c>
      <c r="U103" s="695" t="str">
        <f t="shared" ca="1" si="8"/>
        <v>-</v>
      </c>
      <c r="V103" s="695"/>
      <c r="W103" s="695"/>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4" t="s">
        <v>943</v>
      </c>
      <c r="K104" s="694"/>
      <c r="L104" s="694"/>
      <c r="M104" s="694"/>
      <c r="N104" s="694"/>
      <c r="O104" s="694"/>
      <c r="P104" s="694"/>
      <c r="Q104" s="694"/>
      <c r="R104" s="60" t="str">
        <f>IF($J97=$A$146,"","DF")</f>
        <v>DF</v>
      </c>
      <c r="S104" s="61"/>
      <c r="T104" s="572" t="str">
        <f t="shared" ca="1" si="7"/>
        <v/>
      </c>
      <c r="U104" s="695" t="str">
        <f t="shared" ca="1" si="8"/>
        <v>-</v>
      </c>
      <c r="V104" s="695"/>
      <c r="W104" s="695"/>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4" t="str">
        <f>IF($J$57=$A$146,"Margem bruta da empresa de consultoria","Lucro")</f>
        <v>Lucro</v>
      </c>
      <c r="K105" s="694"/>
      <c r="L105" s="694"/>
      <c r="M105" s="694"/>
      <c r="N105" s="694"/>
      <c r="O105" s="694"/>
      <c r="P105" s="694"/>
      <c r="Q105" s="694"/>
      <c r="R105" s="60" t="str">
        <f>IF($J97=$A$146,"K3","L")</f>
        <v>L</v>
      </c>
      <c r="S105" s="61"/>
      <c r="T105" s="572" t="str">
        <f t="shared" ca="1" si="7"/>
        <v/>
      </c>
      <c r="U105" s="695" t="str">
        <f t="shared" ca="1" si="8"/>
        <v>-</v>
      </c>
      <c r="V105" s="695"/>
      <c r="W105" s="695"/>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4" t="s">
        <v>675</v>
      </c>
      <c r="K106" s="694"/>
      <c r="L106" s="694"/>
      <c r="M106" s="694"/>
      <c r="N106" s="694"/>
      <c r="O106" s="694"/>
      <c r="P106" s="694"/>
      <c r="Q106" s="694"/>
      <c r="R106" s="60" t="s">
        <v>456</v>
      </c>
      <c r="S106" s="61"/>
      <c r="T106" s="572" t="str">
        <f t="shared" ca="1" si="7"/>
        <v/>
      </c>
      <c r="U106" s="695" t="str">
        <f t="shared" ca="1" si="8"/>
        <v>FORA DO INTERVALO</v>
      </c>
      <c r="V106" s="695"/>
      <c r="W106" s="695"/>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4" t="s">
        <v>676</v>
      </c>
      <c r="K107" s="694"/>
      <c r="L107" s="694"/>
      <c r="M107" s="694"/>
      <c r="N107" s="694"/>
      <c r="O107" s="694"/>
      <c r="P107" s="694"/>
      <c r="Q107" s="694"/>
      <c r="R107" s="60" t="s">
        <v>677</v>
      </c>
      <c r="S107" s="62">
        <f ca="1">IF(AND($J97&lt;&gt;$A$145,COUNTA(OFFSET(S100,1,0,6))&gt;0),$R$11*$R$10,0)</f>
        <v>0</v>
      </c>
      <c r="U107" s="695" t="str">
        <f t="shared" ca="1" si="8"/>
        <v>OK</v>
      </c>
      <c r="V107" s="695"/>
      <c r="W107" s="695"/>
      <c r="X107" s="62">
        <v>0</v>
      </c>
      <c r="Y107" s="62">
        <v>2.5000000000000001E-2</v>
      </c>
      <c r="Z107" s="62">
        <v>0.05</v>
      </c>
    </row>
    <row r="108" spans="1:26" ht="15" customHeight="1" x14ac:dyDescent="0.2">
      <c r="A108"/>
      <c r="B108"/>
      <c r="C108"/>
      <c r="D108"/>
      <c r="E108"/>
      <c r="F108"/>
      <c r="G108"/>
      <c r="I108" t="str">
        <f t="shared" ca="1" si="6"/>
        <v/>
      </c>
      <c r="J108" s="694" t="s">
        <v>678</v>
      </c>
      <c r="K108" s="694"/>
      <c r="L108" s="694"/>
      <c r="M108" s="694"/>
      <c r="N108" s="694"/>
      <c r="O108" s="694"/>
      <c r="P108" s="694"/>
      <c r="Q108" s="694"/>
      <c r="R108" s="60" t="s">
        <v>679</v>
      </c>
      <c r="S108" s="62" cm="1">
        <f t="array" aca="1" ref="S108" ca="1">IF(BDI.Opcao&lt;&gt;"Desonerado",0,IF(AND($J97&lt;&gt;$A$145,COUNTA(OFFSET(S100,1,0,6))&gt;0),IF(YEAR(Import.DataBase)&lt;2025,4.5%,IF(YEAR(Import.DataBase)=2025,3.6%,IF(YEAR(Import.DataBase)=2026,2.7%,IF(YEAR(Import.DataBase)=2027,1.8%,0%)))),0%))</f>
        <v>0</v>
      </c>
      <c r="U108" s="695" t="str">
        <f t="shared" ca="1" si="8"/>
        <v>OK</v>
      </c>
      <c r="V108" s="695"/>
      <c r="W108" s="695"/>
      <c r="X108" s="63">
        <f ca="1">$S108</f>
        <v>0</v>
      </c>
      <c r="Y108" s="63">
        <f ca="1">$S108</f>
        <v>0</v>
      </c>
      <c r="Z108" s="63">
        <f ca="1">$S108</f>
        <v>0</v>
      </c>
    </row>
    <row r="109" spans="1:26" ht="15" customHeight="1" x14ac:dyDescent="0.2">
      <c r="A109"/>
      <c r="B109"/>
      <c r="C109"/>
      <c r="D109"/>
      <c r="E109"/>
      <c r="F109"/>
      <c r="G109"/>
      <c r="I109" t="str">
        <f t="shared" ca="1" si="6"/>
        <v/>
      </c>
      <c r="J109" s="694" t="s">
        <v>680</v>
      </c>
      <c r="K109" s="694"/>
      <c r="L109" s="694"/>
      <c r="M109" s="694"/>
      <c r="N109" s="694"/>
      <c r="O109" s="694"/>
      <c r="P109" s="694"/>
      <c r="Q109" s="694"/>
      <c r="R109" s="64" t="s">
        <v>656</v>
      </c>
      <c r="S109" s="62">
        <f ca="1">IF($J97=$A$145,0,ROUND((((1+S101+S102+S103)*(1+S104)*(1+S105)/(1-(S106+S107)))-1),4))</f>
        <v>0</v>
      </c>
      <c r="U109" s="691" t="str">
        <f ca="1">IFERROR(IF(AND(OR(S109&gt;=X109,X109="-"),OR(S109&lt;=Z109,Z109="-")),"OK","FORA DO INTERVALO"),IF(S109=0,"OK","Selecione o Tipo de obra"))</f>
        <v>OK</v>
      </c>
      <c r="V109" s="691"/>
      <c r="W109" s="691"/>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8" t="s">
        <v>681</v>
      </c>
      <c r="K110" s="698"/>
      <c r="L110" s="698"/>
      <c r="M110" s="698"/>
      <c r="N110" s="698"/>
      <c r="O110" s="698"/>
      <c r="P110" s="698"/>
      <c r="Q110" s="698"/>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9" t="str">
        <f ca="1">IF(U109&lt;&gt;"ok","Anexo: Relatório Técnico Circunstanciado justificando a adoção do percentual de cada parcela do BDI.","")</f>
        <v/>
      </c>
      <c r="L112" s="699"/>
      <c r="M112" s="699"/>
      <c r="N112" s="699"/>
      <c r="O112" s="699"/>
      <c r="P112" s="699"/>
      <c r="Q112" s="699"/>
      <c r="R112" s="699"/>
      <c r="S112" s="699"/>
    </row>
    <row r="113" spans="1:19" x14ac:dyDescent="0.2">
      <c r="A113"/>
      <c r="B113"/>
      <c r="C113"/>
      <c r="D113"/>
      <c r="E113"/>
      <c r="F113"/>
      <c r="G113"/>
      <c r="I113" t="str">
        <f t="shared" ca="1" si="6"/>
        <v/>
      </c>
    </row>
    <row r="114" spans="1:19" x14ac:dyDescent="0.2">
      <c r="A114"/>
      <c r="B114"/>
      <c r="C114"/>
      <c r="D114"/>
      <c r="E114"/>
      <c r="F114"/>
      <c r="G114"/>
      <c r="I114" t="str">
        <f t="shared" ca="1" si="6"/>
        <v/>
      </c>
      <c r="J114" s="700" t="s">
        <v>683</v>
      </c>
      <c r="K114" s="700"/>
      <c r="L114" s="700"/>
      <c r="M114" s="700"/>
      <c r="N114" s="700"/>
      <c r="O114" s="700"/>
      <c r="P114" s="700"/>
      <c r="Q114" s="700"/>
      <c r="R114" s="700"/>
      <c r="S114" s="700"/>
    </row>
    <row r="115" spans="1:19" ht="15.75" x14ac:dyDescent="0.25">
      <c r="A115"/>
      <c r="B115"/>
      <c r="C115"/>
      <c r="D115"/>
      <c r="E115"/>
      <c r="F115"/>
      <c r="G115"/>
      <c r="I115" t="str">
        <f t="shared" ca="1" si="6"/>
        <v/>
      </c>
      <c r="J115" s="68"/>
      <c r="K115" s="68"/>
      <c r="L115" s="68"/>
      <c r="M115" s="701" t="s">
        <v>684</v>
      </c>
      <c r="N115" s="707" t="str">
        <f>IF($J97=$A$146,"(1+K1+K2)*(1+K3)","(1+AC + S + R + G)*(1 + DF)*(1+L)")</f>
        <v>(1+AC + S + R + G)*(1 + DF)*(1+L)</v>
      </c>
      <c r="O115" s="707"/>
      <c r="P115" s="707"/>
      <c r="Q115" s="708" t="s">
        <v>685</v>
      </c>
      <c r="R115" s="68"/>
      <c r="S115" s="68"/>
    </row>
    <row r="116" spans="1:19" ht="15.75" x14ac:dyDescent="0.2">
      <c r="A116"/>
      <c r="B116"/>
      <c r="C116"/>
      <c r="D116"/>
      <c r="E116"/>
      <c r="F116"/>
      <c r="G116"/>
      <c r="I116" t="str">
        <f t="shared" ca="1" si="6"/>
        <v/>
      </c>
      <c r="J116" s="68"/>
      <c r="K116" s="68"/>
      <c r="L116" s="68"/>
      <c r="M116" s="701"/>
      <c r="N116" s="696" t="s">
        <v>686</v>
      </c>
      <c r="O116" s="696"/>
      <c r="P116" s="696"/>
      <c r="Q116" s="708"/>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697"/>
      <c r="L118" s="697"/>
      <c r="M118" s="697"/>
      <c r="N118" s="697"/>
      <c r="O118" s="697"/>
      <c r="P118" s="697"/>
      <c r="Q118" s="697"/>
      <c r="R118" s="697"/>
      <c r="S118" s="697"/>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7"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7"/>
      <c r="L120" s="697"/>
      <c r="M120" s="697"/>
      <c r="N120" s="697"/>
      <c r="O120" s="697"/>
      <c r="P120" s="697"/>
      <c r="Q120" s="697"/>
      <c r="R120" s="697"/>
      <c r="S120" s="697"/>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9"/>
      <c r="K123" s="709"/>
      <c r="L123" s="709"/>
      <c r="M123" s="709"/>
      <c r="N123" s="709"/>
      <c r="O123" s="709"/>
      <c r="P123" s="709"/>
      <c r="Q123" s="709"/>
      <c r="R123" s="709"/>
      <c r="S123" s="709"/>
    </row>
    <row r="124" spans="1:19" x14ac:dyDescent="0.2">
      <c r="A124"/>
      <c r="B124"/>
      <c r="C124"/>
      <c r="D124"/>
      <c r="E124"/>
      <c r="F124"/>
      <c r="G124"/>
      <c r="I124" t="str">
        <f t="shared" ca="1" si="6"/>
        <v/>
      </c>
    </row>
    <row r="125" spans="1:19" x14ac:dyDescent="0.2">
      <c r="A125"/>
      <c r="B125"/>
      <c r="C125"/>
      <c r="D125"/>
      <c r="E125"/>
      <c r="F125"/>
      <c r="G125"/>
      <c r="I125" t="str">
        <f t="shared" ca="1" si="6"/>
        <v/>
      </c>
      <c r="J125" s="703" t="str">
        <f>Import.Município</f>
        <v>Ivorá/RS</v>
      </c>
      <c r="K125" s="703"/>
      <c r="L125" s="703"/>
      <c r="M125" s="703"/>
      <c r="P125" s="704">
        <f>DADOS!$C$25</f>
        <v>46169</v>
      </c>
      <c r="Q125" s="704"/>
      <c r="R125" s="704"/>
      <c r="S125" s="704"/>
    </row>
    <row r="126" spans="1:19" x14ac:dyDescent="0.2">
      <c r="A126"/>
      <c r="B126"/>
      <c r="C126"/>
      <c r="D126"/>
      <c r="E126"/>
      <c r="F126"/>
      <c r="G126"/>
      <c r="I126" t="str">
        <f t="shared" ca="1" si="6"/>
        <v/>
      </c>
      <c r="J126" s="705" t="s">
        <v>693</v>
      </c>
      <c r="K126" s="705"/>
      <c r="L126" s="705"/>
      <c r="M126" s="705"/>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06"/>
      <c r="K128" s="706"/>
      <c r="L128" s="706"/>
      <c r="M128" s="706"/>
      <c r="N128" s="76"/>
    </row>
    <row r="129" spans="1:14" x14ac:dyDescent="0.2">
      <c r="A129"/>
      <c r="B129"/>
      <c r="C129"/>
      <c r="D129"/>
      <c r="E129"/>
      <c r="F129"/>
      <c r="G129"/>
      <c r="I129" t="str">
        <f t="shared" ca="1" si="6"/>
        <v/>
      </c>
      <c r="J129" s="702" t="s">
        <v>696</v>
      </c>
      <c r="K129" s="702"/>
      <c r="L129" s="702"/>
      <c r="M129" s="702"/>
    </row>
    <row r="130" spans="1:14" ht="14.25" x14ac:dyDescent="0.2">
      <c r="A130"/>
      <c r="B130"/>
      <c r="C130"/>
      <c r="D130"/>
      <c r="E130"/>
      <c r="F130"/>
      <c r="G130"/>
      <c r="I130" t="str">
        <f t="shared" ca="1" si="6"/>
        <v/>
      </c>
      <c r="J130" s="77" t="s">
        <v>240</v>
      </c>
      <c r="K130" s="78" t="str">
        <f t="array" ref="K130:K132">Import.RespOrçamento</f>
        <v>Vitor Camargo Costa</v>
      </c>
      <c r="L130" s="79"/>
      <c r="M130" s="79"/>
      <c r="N130" s="76"/>
    </row>
    <row r="131" spans="1:14" ht="14.25" x14ac:dyDescent="0.2">
      <c r="A131"/>
      <c r="B131"/>
      <c r="C131"/>
      <c r="D131"/>
      <c r="E131"/>
      <c r="F131"/>
      <c r="G131"/>
      <c r="I131" t="str">
        <f t="shared" ca="1" si="6"/>
        <v/>
      </c>
      <c r="J131" s="77" t="s">
        <v>243</v>
      </c>
      <c r="K131" s="78" t="str">
        <v>RS 203284</v>
      </c>
      <c r="L131" s="79"/>
      <c r="M131" s="79"/>
      <c r="N131" s="76"/>
    </row>
    <row r="132" spans="1:14" ht="14.25" x14ac:dyDescent="0.2">
      <c r="A132"/>
      <c r="B132"/>
      <c r="C132"/>
      <c r="D132"/>
      <c r="E132"/>
      <c r="F132"/>
      <c r="G132"/>
      <c r="I132" t="str">
        <f t="shared" ca="1" si="6"/>
        <v/>
      </c>
      <c r="J132" s="77" t="s">
        <v>246</v>
      </c>
      <c r="K132" s="78">
        <v>14443886</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OfpAp2/ivDfz6KU8v+PWgLWSsBjp4gUE10JeXtqdv2tpomiyQtDZP24D+RunCd5/1odED4IVn8f3b89ccVC84g==" saltValue="R4XyqkK74HMpJV3CDnAn8g=="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599" priority="11" stopIfTrue="1">
      <formula>DESONERACAO="não"</formula>
    </cfRule>
  </conditionalFormatting>
  <conditionalFormatting sqref="U69:W69 U29:W29 U109:W109">
    <cfRule type="expression" dxfId="598" priority="12" stopIfTrue="1">
      <formula>AND(U29&lt;&gt;"OK",U29&lt;&gt;"-",U29&lt;&gt;"")</formula>
    </cfRule>
    <cfRule type="cellIs" dxfId="597" priority="13" stopIfTrue="1" operator="equal">
      <formula>"OK"</formula>
    </cfRule>
  </conditionalFormatting>
  <conditionalFormatting sqref="S29 S69 S109">
    <cfRule type="expression" dxfId="596" priority="14" stopIfTrue="1">
      <formula>DESONERACAO="não"</formula>
    </cfRule>
  </conditionalFormatting>
  <conditionalFormatting sqref="J23:S24">
    <cfRule type="expression" dxfId="595" priority="9">
      <formula>$J$17=$A$146</formula>
    </cfRule>
  </conditionalFormatting>
  <conditionalFormatting sqref="S21:S26">
    <cfRule type="expression" dxfId="594" priority="8">
      <formula>$J$17=$A$145</formula>
    </cfRule>
  </conditionalFormatting>
  <conditionalFormatting sqref="J63:S64">
    <cfRule type="expression" dxfId="593" priority="7">
      <formula>$J$57=$A$146</formula>
    </cfRule>
  </conditionalFormatting>
  <conditionalFormatting sqref="S61:S66">
    <cfRule type="expression" dxfId="592" priority="6">
      <formula>$J$57=$A$145</formula>
    </cfRule>
  </conditionalFormatting>
  <conditionalFormatting sqref="J103:S104">
    <cfRule type="expression" dxfId="591" priority="5">
      <formula>$J$97=$A$146</formula>
    </cfRule>
  </conditionalFormatting>
  <conditionalFormatting sqref="S101:S106">
    <cfRule type="expression" dxfId="590" priority="4">
      <formula>$J$97=$A$145</formula>
    </cfRule>
  </conditionalFormatting>
  <conditionalFormatting sqref="U21:W28">
    <cfRule type="cellIs" dxfId="589" priority="3" operator="notEqual">
      <formula>"OK"</formula>
    </cfRule>
  </conditionalFormatting>
  <conditionalFormatting sqref="U61:W68">
    <cfRule type="cellIs" dxfId="588" priority="2" operator="notEqual">
      <formula>"OK"</formula>
    </cfRule>
  </conditionalFormatting>
  <conditionalFormatting sqref="U101:W108">
    <cfRule type="cellIs" dxfId="587"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74"/>
  <sheetViews>
    <sheetView showGridLines="0" zoomScaleNormal="10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4" t="s">
        <v>650</v>
      </c>
      <c r="P4" s="684"/>
      <c r="Q4" s="87" t="s">
        <v>707</v>
      </c>
      <c r="R4" s="87" t="s">
        <v>652</v>
      </c>
      <c r="S4" s="684" t="s">
        <v>708</v>
      </c>
      <c r="T4" s="684"/>
      <c r="U4" s="684"/>
      <c r="V4" s="684"/>
      <c r="W4" s="684"/>
      <c r="X4" s="684"/>
      <c r="Y4" s="77"/>
      <c r="Z4" s="77"/>
      <c r="AA4" s="77"/>
      <c r="AB4" s="77"/>
    </row>
    <row r="5" spans="1:40" ht="12.75" customHeight="1" x14ac:dyDescent="0.2">
      <c r="A5" s="450">
        <f ca="1">MAX($C$15:$C$44)</f>
        <v>2</v>
      </c>
      <c r="B5" s="7"/>
      <c r="C5" s="7"/>
      <c r="D5" s="7"/>
      <c r="E5" s="7"/>
      <c r="F5" s="663">
        <f ca="1">IF(BDI.Opcao="DESONERADO",BDI!$S$30,BDI!$S$29)</f>
        <v>0.24229999999999999</v>
      </c>
      <c r="G5" s="663">
        <f ca="1">IF(BDI.Opcao="DESONERADO",BDI!$S$70,BDI!$S$69)</f>
        <v>0.15</v>
      </c>
      <c r="H5" s="663">
        <f ca="1">IF(BDI.Opcao="DESONERADO",BDI!$S$110,BDI!$S$109)</f>
        <v>0</v>
      </c>
      <c r="I5" s="7"/>
      <c r="O5" s="681" t="str">
        <f>Import.CR</f>
        <v>984561-2025</v>
      </c>
      <c r="P5" s="681"/>
      <c r="Q5" s="90" t="str" cm="1">
        <f t="array" ref="Q5">Import.TransfereGOV</f>
        <v>984561</v>
      </c>
      <c r="R5" s="91" t="str">
        <f>Import.Proponente</f>
        <v>Município de Ivorá</v>
      </c>
      <c r="S5" s="681" t="str">
        <f>Import.Apelido</f>
        <v>Pavimentação Rua Padre Pedro Marcelino Copetti</v>
      </c>
      <c r="T5" s="681"/>
      <c r="U5" s="681"/>
      <c r="V5" s="681"/>
      <c r="W5" s="681"/>
      <c r="X5" s="681"/>
      <c r="Y5" s="92"/>
      <c r="Z5" s="92"/>
      <c r="AA5" s="92"/>
      <c r="AB5" s="92"/>
      <c r="AE5" s="721" t="s">
        <v>709</v>
      </c>
      <c r="AF5" s="721"/>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4" t="s">
        <v>710</v>
      </c>
      <c r="P7" s="684"/>
      <c r="Q7" s="87" t="s">
        <v>711</v>
      </c>
      <c r="R7" s="87" t="str" cm="1">
        <f t="array" ref="R7">IF(TIPOORCAMENTO="Licitado","NOME DA EMPRESA","DESCRIÇÃO DO LOTE")</f>
        <v>DESCRIÇÃO DO LOTE</v>
      </c>
      <c r="S7" s="722" t="str" cm="1">
        <f t="array" ref="S7">IF(TIPOORCAMENTO="Licitado","REGIME DE EXECUÇÃO","MUNICÍPIO / UF")</f>
        <v>MUNICÍPIO / UF</v>
      </c>
      <c r="T7" s="722"/>
      <c r="U7" s="722"/>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IF(COUNTIFS($L$15:$L$44,"F",$AC$15:$AC$44,"JUSTIFICAR BDI")&gt;0,"JUSTIFICAR BDI","")</f>
        <v/>
      </c>
      <c r="AE7" s="88" t="s">
        <v>712</v>
      </c>
      <c r="AF7" s="89" t="b">
        <v>1</v>
      </c>
      <c r="AJ7" s="725" t="s">
        <v>713</v>
      </c>
      <c r="AL7" s="723" t="s">
        <v>714</v>
      </c>
    </row>
    <row r="8" spans="1:40" ht="12.75" customHeight="1" x14ac:dyDescent="0.2">
      <c r="A8" s="7"/>
      <c r="B8" s="7"/>
      <c r="C8" s="7"/>
      <c r="E8" s="506" t="s">
        <v>996</v>
      </c>
      <c r="F8" s="719" t="str" cm="1">
        <f t="array" aca="1" ref="F8" ca="1">IF(LEN(INFO("release"))&gt;5,"'Referência "&amp;Excel_BuiltIn_Database&amp;".xlsm'#Banco.$a5:$a$65536","'[Referência "&amp;Excel_BuiltIn_Database&amp;".xlsm]Banco'!$a5:$a$65536")</f>
        <v>'[Referência 04-2026.xlsm]Banco'!$a5:$a$65536</v>
      </c>
      <c r="G8" s="719"/>
      <c r="H8" s="719"/>
      <c r="I8" s="719"/>
      <c r="J8" s="719"/>
      <c r="K8" s="719"/>
      <c r="L8" s="710" t="s">
        <v>655</v>
      </c>
      <c r="O8" s="681" t="str" cm="1">
        <f t="array" aca="1" ref="O8" ca="1">IF(ISERROR(INDIRECT($F$9)),"(N/D: 'Referência "&amp;Excel_BuiltIn_Database&amp;".xlsm)",INDIRECT($F$9))</f>
        <v>(N/D: 'Referência 04-2026.xlsm)</v>
      </c>
      <c r="P8" s="681"/>
      <c r="Q8" s="99" t="str" cm="1">
        <f t="array" aca="1" ref="Q8" ca="1">TEXT(Import.DataBase,"mm-aa")&amp;IF(DESONERACAO="Sim"," (DES.)"," (N DES.)")</f>
        <v>04-26 (N DES.)</v>
      </c>
      <c r="R8" s="91" t="str" cm="1">
        <f t="array" ref="R8">IF(TIPOORCAMENTO="Licitado",Import.empresa,Import.DescLote)</f>
        <v>Pavimentação Asfáltica Rua Padre Pedro Marcelino Copetti</v>
      </c>
      <c r="S8" s="720" t="str" cm="1">
        <f t="array" ref="S8">IF(TIPOORCAMENTO="Licitado",Import.RegimeExecução,Import.Município)</f>
        <v>Ivorá/RS</v>
      </c>
      <c r="T8" s="720"/>
      <c r="U8" s="720"/>
      <c r="V8" s="100" t="str" cm="1">
        <f t="array" aca="1" ref="V8" ca="1">IF(TIPOORCAMENTO="Licitado","",TEXT(F5,"0,00%"))</f>
        <v>24,23%</v>
      </c>
      <c r="W8" s="100" t="str" cm="1">
        <f t="array" aca="1" ref="W8" ca="1">IF(TIPOORCAMENTO="Licitado","",TEXT(G5,"0,00%"))</f>
        <v>15,00%</v>
      </c>
      <c r="X8" s="101" t="str" cm="1">
        <f t="array" aca="1" ref="X8" ca="1">IF(TIPOORCAMENTO="Licitado",Import.CTEF,TEXT(H5,"0,00%"))</f>
        <v>0,00%</v>
      </c>
      <c r="Y8" s="710" t="s">
        <v>715</v>
      </c>
      <c r="Z8" s="710" t="s">
        <v>716</v>
      </c>
      <c r="AA8" s="102"/>
      <c r="AB8" s="102"/>
      <c r="AE8" s="88" t="s">
        <v>717</v>
      </c>
      <c r="AF8" s="89" t="b">
        <v>1</v>
      </c>
      <c r="AJ8" s="725"/>
      <c r="AL8" s="723"/>
    </row>
    <row r="9" spans="1:40" ht="12.75" customHeight="1" x14ac:dyDescent="0.2">
      <c r="E9" s="506" t="s">
        <v>994</v>
      </c>
      <c r="F9" s="719" t="str" cm="1">
        <f t="array" aca="1" ref="F9" ca="1">IF(LEN(INFO("release"))&gt;5,"'Referência "&amp;Excel_BuiltIn_Database&amp;".xlsm'#Banco.$d$3","'[Referência "&amp;Excel_BuiltIn_Database&amp;".xlsm]Banco'!$d$3")</f>
        <v>'[Referência 04-2026.xlsm]Banco'!$d$3</v>
      </c>
      <c r="G9" s="719"/>
      <c r="H9" s="719"/>
      <c r="I9" s="719"/>
      <c r="J9" s="719"/>
      <c r="K9" s="719"/>
      <c r="L9" s="710"/>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10"/>
      <c r="Z9" s="710"/>
      <c r="AE9" s="88" t="s">
        <v>23</v>
      </c>
      <c r="AF9" s="89" t="b">
        <v>1</v>
      </c>
      <c r="AJ9" s="725"/>
      <c r="AL9" s="723"/>
    </row>
    <row r="10" spans="1:40" x14ac:dyDescent="0.2">
      <c r="E10" s="506" t="s">
        <v>995</v>
      </c>
      <c r="F10" s="719" t="str" cm="1">
        <f t="array" aca="1" ref="F10" ca="1">IF(LEN(INFO("release"))&gt;5,"'Referência "&amp;Excel_BuiltIn_Database&amp;".xlsm'#Banco.$B$3","'[Referência "&amp;Excel_BuiltIn_Database&amp;".xlsm]Banco'!$B$3")</f>
        <v>'[Referência 04-2026.xlsm]Banco'!$B$3</v>
      </c>
      <c r="G10" s="719"/>
      <c r="H10" s="719"/>
      <c r="I10" s="719"/>
      <c r="J10" s="719"/>
      <c r="K10" s="719"/>
      <c r="L10" s="710"/>
      <c r="Y10" s="710"/>
      <c r="Z10" s="710"/>
      <c r="AC10" s="103" t="s">
        <v>718</v>
      </c>
      <c r="AE10" s="88" t="s">
        <v>719</v>
      </c>
      <c r="AF10" s="89" t="b">
        <v>1</v>
      </c>
      <c r="AJ10" s="725"/>
      <c r="AL10" s="723"/>
    </row>
    <row r="11" spans="1:40" x14ac:dyDescent="0.2">
      <c r="F11" s="661" t="str" cm="1">
        <f t="array" aca="1" ref="F11" ca="1">IFERROR(INDIRECT(F10),"")</f>
        <v/>
      </c>
      <c r="G11" s="665" t="str" cm="1">
        <f t="array" aca="1" ref="G11" ca="1">IFERROR(TEXT(Import.DataBase,"mm/aaaa"),"")</f>
        <v>04/2026</v>
      </c>
      <c r="H11" s="104"/>
      <c r="L11" s="710"/>
      <c r="Y11" s="710"/>
      <c r="Z11" s="710"/>
      <c r="AC11" s="105" t="str">
        <f ca="1">IF(COUNTIFS($L$15:$L$44,"F",$AC$15:$AC$44,"&lt;&gt;"&amp;" ",$AC$15:$AC$44,"&lt;&gt;"&amp;"JUSTIFICAR BDI")&gt;0,"NÃO OK","OK")</f>
        <v>NÃO OK</v>
      </c>
      <c r="AE11" s="88" t="s">
        <v>720</v>
      </c>
      <c r="AF11" s="89" t="b">
        <v>1</v>
      </c>
      <c r="AJ11" s="725"/>
      <c r="AL11" s="723"/>
    </row>
    <row r="12" spans="1:40" ht="20.100000000000001" customHeight="1" x14ac:dyDescent="0.2">
      <c r="G12" s="85"/>
      <c r="H12" s="85"/>
      <c r="L12" s="710"/>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IF(COUNTIF($AC$15:$AC$44,"FONTE")&gt;0,"Falta preencher a Fonte (coluna P) na Linha "&amp;(14+MATCH("FONTE",$AC$15:$AC$44,0)),
 IF(COUNTIF($AC$15:$AC$44,"CÓDIGO")&gt;0,"Falta preencher o Código (coluna Q) na Linha "&amp;(14+MATCH("CÓDIGO",$AC$15:$AC$44,0)),
 IF(COUNTIF($AC$15:$AC$44,"CÓDIGO N/ID")&gt;0,"Código (coluna Q) não identificado na Linha "&amp;(14+MATCH("CÓDIGO N/ID",$AC$15:$AC$44,0))&amp;". Verifique se o código está correto ou busque outro código",
 IF(COUNTIF($AC$15:$AC$44,"DESCRIÇÃO")&gt;0,"Falta preencher a Descrição (coluna R) na Linha "&amp;(14+MATCH("DESCRIÇÃO",$AC$15:$AC$44,0)),
 IF(COUNTIF($AC$15:$AC$44,"UNIDADE")&gt;0,"Falta preencher a Unidade (coluna S) na Linha "&amp;(14+MATCH("UNIDADE",$AC$15:$AC$44,0)),
 IF(COUNTIF($AC$15:$AC$44,"SEM CUSTO")&gt;0,"Falta preencher o Custo Unitário (coluna U) na Linha "&amp;(14+MATCH("SEM CUSTO",$AC$15:$AC$44,0)),
 IF(COUNTIF($AC$15:$AC$44,"SEM PREÇO")&gt;0,"Falta preencher o Preço Unitário licitado (coluna AL) na Linha "&amp;(14+MATCH("SEM CUSTO",$AC$15:$AC$44,0)),
 IF(COUNTIF($AC$15:$AC$44,"BDI")&gt;0,"Falta definir o BDI (coluna V) na Linha "&amp;(14+MATCH("BDI",$AC$15:$AC$44,0)),
 IF(COUNTIF($AC$15:$AC$44,"ACIMA REF.")&gt;0,
         IF(TIPOORCAMENTO="Proposto","O custo unitário (coluna U) na Linha "&amp;(14+MATCH("ACIMA REF.",$AC$15:$AC$44,0))&amp;" está acima do custo referencial (coluna AG)",
            "O preço unitário licitado (coluna AL) na Linha "&amp;(14+MATCH("ACIMA REF.",$AC$15:$AC$44,0))&amp;" está acima do preço referencial do edital (coluna AN)"),
 IF(COUNTIF($AC$15:$AC$44,"QUANT.")&gt;0,"Falta a Quantidade do serviço na Linha "&amp;(14+MATCH("QUANT.",$AC$15:$AC$44,0))&amp;IF(ACOMPANHAMENTO="PLE",". Preencher na aba CÁLCULO",". Preencher na coluna AJ"),
 IF(COUNTIF($AC$15:$AC$44,"Código &gt;13")&gt;0,"O tamanho do código do serviço no TransfereGOV é limitado a 13 caracteres. Resuma o código (coluna Q) na Linha "&amp;(14+MATCH("Código &gt;13",$AC$15:$AC$44,0)),
 IF(COUNTIF($AC$15:$AC$44,"Descrição &gt;100")&gt;0,"O tamanho da descrição de macrosserviço no TransfereGOV é limitado a 100 caracteres. Resuma a descrição (coluna R) na Linha "&amp;(14+MATCH("Descrição &gt;100",$AC$15:$AC$44,0)),
 IF(COUNTIF($AC$15:$AC$44,"Descrição &gt;500")&gt;0,"O tamanho da descrição de serviço no TransfereGOV é limitado a 500 caracteres. Resuma a descrição (coluna R) na Linha "&amp;(14+MATCH("Descrição &gt;500",$AC$15:$AC$44,0)),
 IF(COUNTIF($AC$15:$AC$44,"Unid. Não Disp")&gt;0,"Unidade não disponível na lista do TransfereGOV. Reveja a unidade (coluna S) na Linha "&amp;(14+MATCH("Unid. Não Disp",$AC$15:$AC$44,0)),
 IF(AND(TIPOORCAMENTO="Proposto",LEFT($O$8,5)="(N/D:"),"Abra o arquivo Referência "&amp;Excel_BuiltIn_Database&amp;".xlsm","")))))))))))))))))</f>
        <v>Código (coluna Q) não identificado na Linha 18. Verifique se o código está correto ou busque outro código</v>
      </c>
      <c r="Y12" s="710"/>
      <c r="Z12" s="710"/>
      <c r="AA12" s="724" t="s">
        <v>721</v>
      </c>
      <c r="AB12" s="724"/>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IF(OR($C14="S",$C14=0),0,MATCH(0,OFFSET($D14,1,$C14,ROW($C$44)-ROW($C14)),0))</f>
        <v>0</v>
      </c>
      <c r="K14">
        <f ca="1">IF(OR($C14="S",$C14=0),0,MATCH(OFFSET($D14,0,$C14)+IF($C14&lt;&gt;1,1,COUNTIF(QCI!$A$13:$A$24,ORÇAMENTO!E14)),OFFSET($D14,1,$C14,ROW($C$44)-ROW($C14)),0))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0.24229999999999999</v>
      </c>
      <c r="AJ14" s="431"/>
      <c r="AL14" s="439"/>
      <c r="AM14" s="336">
        <f t="shared" ref="AM14:AM43" ca="1" si="0">$X14</f>
        <v>0</v>
      </c>
      <c r="AN14" s="470" cm="1">
        <f t="array" aca="1" ref="AN14" ca="1">ROUND(ORÇAMENTO.CustoUnitario*(1+$AH14),2)</f>
        <v>0</v>
      </c>
    </row>
    <row r="15" spans="1:40" ht="12.75" customHeight="1" x14ac:dyDescent="0.2">
      <c r="A15">
        <v>0</v>
      </c>
      <c r="C15" t="s">
        <v>654</v>
      </c>
      <c r="D15">
        <f ca="1">COUNTA(OFFSET(D15,1,0):D$44)</f>
        <v>28</v>
      </c>
      <c r="E15">
        <v>0</v>
      </c>
      <c r="L15" s="114" t="s">
        <v>536</v>
      </c>
      <c r="M15" s="130" t="str" cm="1">
        <f t="array" ref="M15">IF(TIPOORCAMENTO="LICITADO","CTEF","LOTE")</f>
        <v>LOTE</v>
      </c>
      <c r="N15" s="130" t="str" cm="1">
        <f t="array" ref="N15">IF(TIPOORCAMENTO="LICITADO","CTEF","LOTE")</f>
        <v>LOTE</v>
      </c>
      <c r="O15" s="712" t="str">
        <f>Import.DescLote</f>
        <v>Pavimentação Asfáltica Rua Padre Pedro Marcelino Copetti</v>
      </c>
      <c r="P15" s="713"/>
      <c r="Q15" s="713"/>
      <c r="R15" s="713"/>
      <c r="S15" s="613"/>
      <c r="T15" s="614"/>
      <c r="U15" s="614"/>
      <c r="V15" s="615"/>
      <c r="W15" s="614"/>
      <c r="X15" s="131">
        <f ca="1">SUMIF(OFFSET($C15,1,0,ROW(X44)-ROW(X15)-1),"S",OFFSET(X15,1,0,ROW(X44)-ROW(X15)-1))</f>
        <v>424489.11000000004</v>
      </c>
      <c r="Y15" s="7"/>
      <c r="Z15" t="str">
        <f ca="1">IF(AND($C15="S",$X15&gt;0),LEFT($Y15,2),"")</f>
        <v/>
      </c>
      <c r="AA15" s="426">
        <f ca="1">SUMIF(OFFSET($C15,1,0,ROW(AA44)-ROW(AA15)-1),"S",OFFSET(AA15,1,0,ROW(AA44)-ROW(AA15)-1))</f>
        <v>34626.109999999986</v>
      </c>
      <c r="AB15" s="132">
        <f ca="1">SUMIF(OFFSET($C15,1,0,ROW(AB44)-ROW(AB15)-1),"S",OFFSET(AB15,1,0,ROW(AB44)-ROW(AB15)-1))</f>
        <v>0</v>
      </c>
      <c r="AC15" s="565" t="s">
        <v>752</v>
      </c>
      <c r="AG15" s="441"/>
      <c r="AH15" s="442"/>
      <c r="AJ15" s="430"/>
      <c r="AL15" s="440"/>
      <c r="AM15" s="471">
        <f t="shared" ca="1" si="0"/>
        <v>424489.11000000004</v>
      </c>
      <c r="AN15" s="472"/>
    </row>
    <row r="16" spans="1:40" x14ac:dyDescent="0.2">
      <c r="A16">
        <f t="shared" ref="A16:A43" si="1">CHOOSE(1+LOG(1+2*(ORÇAMENTO.Nivel="Meta")+4*(ORÇAMENTO.Nivel="Nível 2")+8*(ORÇAMENTO.Nivel="Nível 3")+16*(ORÇAMENTO.Nivel="Nível 4")+32*(ORÇAMENTO.Nivel="Serviço"),2),0,1,2,3,4,"S")</f>
        <v>1</v>
      </c>
      <c r="B16">
        <f t="shared" ref="B16:B43" ca="1" si="2">IF(OR(C16="s",C16=0),OFFSET(B16,-1,0),C16)</f>
        <v>1</v>
      </c>
      <c r="C16">
        <f t="shared" ref="C16:C43" ca="1" si="3">IF(OFFSET(C16,-1,0)="L",1,IF(OFFSET(C16,-1,0)=1,2,IF(OR(A16="s",A16=0),"S",IF(AND(OFFSET(C16,-1,0)=2,A16=4),3,IF(AND(OR(OFFSET(C16,-1,0)="s",OFFSET(C16,-1,0)=0),A16&lt;&gt;"s",A16&gt;OFFSET(B16,-1,0)),OFFSET(B16,-1,0),A16)))))</f>
        <v>1</v>
      </c>
      <c r="D16">
        <f t="shared" ref="D16:D43" ca="1" si="4">IF(OR(C16="S",C16=0),0,IF(ISERROR(K16),J16,SMALL(J16:K16,1)))</f>
        <v>28</v>
      </c>
      <c r="E16">
        <f ca="1">IF($C16=1,OFFSET(E16,-1,0)+MAX(1,COUNTIF(QCI!$A$13:$A$24,OFFSET(ORÇAMENTO!E16,-1,0))),OFFSET(E16,-1,0))</f>
        <v>1</v>
      </c>
      <c r="F16">
        <f t="shared" ref="F16:F43" ca="1" si="5">IF($C16=1,0,IF($C16=2,OFFSET(F16,-1,0)+1,OFFSET(F16,-1,0)))</f>
        <v>0</v>
      </c>
      <c r="G16">
        <f t="shared" ref="G16:G43" ca="1" si="6">IF(AND($C16&lt;=2,$C16&lt;&gt;0),0,IF($C16=3,OFFSET(G16,-1,0)+1,OFFSET(G16,-1,0)))</f>
        <v>0</v>
      </c>
      <c r="H16">
        <f t="shared" ref="H16:H43" ca="1" si="7">IF(AND($C16&lt;=3,$C16&lt;&gt;0),0,IF($C16=4,OFFSET(H16,-1,0)+1,OFFSET(H16,-1,0)))</f>
        <v>0</v>
      </c>
      <c r="I16">
        <f t="shared" ref="I16:I43" ca="1" si="8">IF(AND($C16&lt;=4,$C16&lt;&gt;0),0,IF(AND($C16="S",$X16&gt;0),OFFSET(I16,-1,0)+1,OFFSET(I16,-1,0)))</f>
        <v>0</v>
      </c>
      <c r="J16">
        <f t="shared" ref="J16:J43" ca="1" si="9">IF(OR($C16="S",$C16=0),0,MATCH(0,OFFSET($D16,1,$C16,ROW($C$44)-ROW($C16)),0))</f>
        <v>28</v>
      </c>
      <c r="K16" t="e">
        <f ca="1">IF(OR($C16="S",$C16=0),0,MATCH(OFFSET($D16,0,$C16)+IF($C16&lt;&gt;1,1,COUNTIF(QCI!$A$13:$A$24,ORÇAMENTO!E16)),OFFSET($D16,1,$C16,ROW($C$44)-ROW($C16)),0))</f>
        <v>#N/A</v>
      </c>
      <c r="L16" s="114" t="str">
        <f t="shared" ref="L16:L43" ca="1" si="10">IF(OR($X16&gt;0,$C16=1,$C16=2,$C16=3,$C16=4),"F","")</f>
        <v>F</v>
      </c>
      <c r="M16" s="115" t="s">
        <v>701</v>
      </c>
      <c r="N16" s="116" t="str">
        <f t="shared" ref="N16:N43" ca="1" si="11">CHOOSE(1+LOG(1+2*(C16=1)+4*(C16=2)+8*(C16=3)+16*(C16=4)+32*(C16="S"),2),"","Meta","Nível 2","Nível 3","Nível 4","Serviço")</f>
        <v>Meta</v>
      </c>
      <c r="O16" s="117" t="str">
        <f t="shared" ref="O16:O43" ca="1" si="12">IF(OR($C16=0,$L16=""),"-",CONCATENATE(E16&amp;".",IF(AND($A$5&gt;=2,$C16&gt;=2),F16&amp;".",""),IF(AND($A$5&gt;=3,$C16&gt;=3),G16&amp;".",""),IF(AND($A$5&gt;=4,$C16&gt;=4),H16&amp;".",""),IF($C16="S",I16&amp;".","")))</f>
        <v>1.</v>
      </c>
      <c r="P16" s="118" t="s">
        <v>750</v>
      </c>
      <c r="Q16" s="119"/>
      <c r="R16" s="120" t="s">
        <v>1046</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424489.11</v>
      </c>
      <c r="Y16" s="126" t="s">
        <v>751</v>
      </c>
      <c r="Z16" t="str">
        <f t="shared" ref="Z16:Z43" ca="1" si="13">IF(AND($C16="S",$X16&gt;0),IF(ISBLANK($Y16),"RA",LEFT($Y16,2)),"")</f>
        <v/>
      </c>
      <c r="AA16" s="127" cm="1">
        <f t="array" aca="1" ref="AA16" ca="1">IF($C16="S",IF($Z16="CP",$X16,IF($Z16="RA",(($X16)*QCI!$AA$3),0)),SomaAgrup)</f>
        <v>34626.109999999986</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43" ca="1" si="14">ROUND(IF(ISNUMBER(ORÇAMENTO.OpcaoBDI),ORÇAMENTO.OpcaoBDI,IF(LEFT(ORÇAMENTO.OpcaoBDI,3)="BDI",HLOOKUP(ORÇAMENTO.OpcaoBDI,$F$4:$H$5,2,FALSE),0)),15-11*$AF$9)</f>
        <v>0.24229999999999999</v>
      </c>
      <c r="AJ16" s="431"/>
      <c r="AL16" s="439"/>
      <c r="AM16" s="336">
        <f t="shared" ca="1" si="0"/>
        <v>424489.11</v>
      </c>
      <c r="AN16" s="470" cm="1">
        <f t="array" aca="1" ref="AN16" ca="1">ROUND(ORÇAMENTO.CustoUnitario*(1+$AH16),2)</f>
        <v>0</v>
      </c>
    </row>
    <row r="17" spans="1:40" x14ac:dyDescent="0.2">
      <c r="A17">
        <f t="shared" si="1"/>
        <v>2</v>
      </c>
      <c r="B17">
        <f t="shared" ca="1" si="2"/>
        <v>2</v>
      </c>
      <c r="C17">
        <f t="shared" ca="1" si="3"/>
        <v>2</v>
      </c>
      <c r="D17">
        <f t="shared" ca="1" si="4"/>
        <v>4</v>
      </c>
      <c r="E17">
        <f ca="1">IF($C17=1,OFFSET(E17,-1,0)+MAX(1,COUNTIF(QCI!$A$13:$A$24,OFFSET(ORÇAMENTO!E17,-1,0))),OFFSET(E17,-1,0))</f>
        <v>1</v>
      </c>
      <c r="F17">
        <f t="shared" ca="1" si="5"/>
        <v>1</v>
      </c>
      <c r="G17">
        <f t="shared" ca="1" si="6"/>
        <v>0</v>
      </c>
      <c r="H17">
        <f t="shared" ca="1" si="7"/>
        <v>0</v>
      </c>
      <c r="I17">
        <f t="shared" ca="1" si="8"/>
        <v>0</v>
      </c>
      <c r="J17">
        <f t="shared" ca="1" si="9"/>
        <v>27</v>
      </c>
      <c r="K17">
        <f ca="1">IF(OR($C17="S",$C17=0),0,MATCH(OFFSET($D17,0,$C17)+IF($C17&lt;&gt;1,1,COUNTIF(QCI!$A$13:$A$24,ORÇAMENTO!E17)),OFFSET($D17,1,$C17,ROW($C$44)-ROW($C17)),0))</f>
        <v>4</v>
      </c>
      <c r="L17" s="114" t="str">
        <f t="shared" ca="1" si="10"/>
        <v>F</v>
      </c>
      <c r="M17" s="115" t="s">
        <v>702</v>
      </c>
      <c r="N17" s="116" t="str">
        <f t="shared" ca="1" si="11"/>
        <v>Nível 2</v>
      </c>
      <c r="O17" s="117" t="str">
        <f t="shared" ca="1" si="12"/>
        <v>1.1.</v>
      </c>
      <c r="P17" s="118" t="s">
        <v>750</v>
      </c>
      <c r="Q17" s="119"/>
      <c r="R17" s="120" t="s">
        <v>1007</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14890.35</v>
      </c>
      <c r="Y17" s="126" t="s">
        <v>751</v>
      </c>
      <c r="Z17" t="str">
        <f t="shared" ca="1" si="13"/>
        <v/>
      </c>
      <c r="AA17" s="127" cm="1">
        <f t="array" aca="1" ref="AA17" ca="1">IF($C17="S",IF($Z17="CP",$X17,IF($Z17="RA",(($X17)*QCI!$AA$3),0)),SomaAgrup)</f>
        <v>1214.6245566547036</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0.24229999999999999</v>
      </c>
      <c r="AJ17" s="431"/>
      <c r="AL17" s="439"/>
      <c r="AM17" s="336">
        <f t="shared" ca="1" si="0"/>
        <v>14890.35</v>
      </c>
      <c r="AN17" s="470" cm="1">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IF(OR($C18="S",$C18=0),0,MATCH(OFFSET($D18,0,$C18)+IF($C18&lt;&gt;1,1,COUNTIF(QCI!$A$13:$A$24,ORÇAMENTO!E18)),OFFSET($D18,1,$C18,ROW($C$44)-ROW($C18)),0))</f>
        <v>0</v>
      </c>
      <c r="L18" s="114" t="str">
        <f t="shared" ca="1" si="10"/>
        <v>F</v>
      </c>
      <c r="M18" s="115" t="s">
        <v>705</v>
      </c>
      <c r="N18" s="116" t="str">
        <f t="shared" ca="1" si="11"/>
        <v>Serviço</v>
      </c>
      <c r="O18" s="117" t="str">
        <f t="shared" ca="1" si="12"/>
        <v>1.1.1.</v>
      </c>
      <c r="P18" s="118" t="s">
        <v>955</v>
      </c>
      <c r="Q18" s="119" t="s">
        <v>1033</v>
      </c>
      <c r="R18" s="120" t="str" cm="1">
        <f t="array" aca="1" ref="R18" ca="1">IF($C18="S",REFERENCIA.Descricao,"(digite a descrição aqui)")</f>
        <v>(Código não identificado nas referências)</v>
      </c>
      <c r="S18" s="121" t="s">
        <v>623</v>
      </c>
      <c r="T18" s="122">
        <f ca="1">OFFSET(CÁLCULO!H$15,ROW($T18)-ROW(T$15),0)</f>
        <v>6.48</v>
      </c>
      <c r="U18" s="123">
        <v>454.69</v>
      </c>
      <c r="V18" s="124" t="s">
        <v>663</v>
      </c>
      <c r="W18" s="122" cm="1">
        <f t="array" aca="1" ref="W18" ca="1">IF($C18="S",ROUND(IF(TIPOORCAMENTO="Proposto",ORÇAMENTO.CustoUnitario*(1+$AH18),ORÇAMENTO.PrecoUnitarioLicitado),15-13*$AF$10),0)</f>
        <v>564.86</v>
      </c>
      <c r="X18" s="125" cm="1">
        <f t="array" aca="1" ref="X18" ca="1">IF($C18="S",IF(OR(Import.TipoArredondamento&lt;&gt;"TransfereGOV",ACOMPANHAMENTO="BM"),VTOTAL1,SUM(OFFSET(CÁLCULO!$AA$15,ROW($X18)-ROW($X$15),1):OFFSET(CÁLCULO!$AL$15,ROW($X18)-ROW($X$15),-1))),IF($C18=0,0,ROUND(SomaAgrup,15-13*$AF$11)))</f>
        <v>3660.29</v>
      </c>
      <c r="Y18" s="126" t="s">
        <v>751</v>
      </c>
      <c r="Z18" t="str">
        <f t="shared" ca="1" si="13"/>
        <v>RA</v>
      </c>
      <c r="AA18" s="127" cm="1">
        <f t="array" aca="1" ref="AA18" ca="1">IF($C18="S",IF($Z18="CP",$X18,IF($Z18="RA",(($X18)*QCI!$AA$3),0)),SomaAgrup)</f>
        <v>298.57445382261972</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SICRO 5213570</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0.24229999999999999</v>
      </c>
      <c r="AJ18" s="431"/>
      <c r="AL18" s="439">
        <v>2395.6999999999998</v>
      </c>
      <c r="AM18" s="336">
        <f t="shared" ca="1" si="0"/>
        <v>3660.29</v>
      </c>
      <c r="AN18" s="470" cm="1">
        <f t="array" aca="1" ref="AN18" ca="1">ROUND(ORÇAMENTO.CustoUnitario*(1+$AH18),2)</f>
        <v>564.86</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IF(OR($C19="S",$C19=0),0,MATCH(OFFSET($D19,0,$C19)+IF($C19&lt;&gt;1,1,COUNTIF(QCI!$A$13:$A$24,ORÇAMENTO!E19)),OFFSET($D19,1,$C19,ROW($C$44)-ROW($C19)),0))</f>
        <v>0</v>
      </c>
      <c r="L19" s="114" t="str">
        <f t="shared" ca="1" si="10"/>
        <v>F</v>
      </c>
      <c r="M19" s="115" t="s">
        <v>705</v>
      </c>
      <c r="N19" s="116" t="str">
        <f t="shared" ca="1" si="11"/>
        <v>Serviço</v>
      </c>
      <c r="O19" s="117" t="str">
        <f t="shared" ca="1" si="12"/>
        <v>1.1.2.</v>
      </c>
      <c r="P19" s="118" t="s">
        <v>955</v>
      </c>
      <c r="Q19" s="119" t="s">
        <v>1008</v>
      </c>
      <c r="R19" s="120" t="str" cm="1">
        <f t="array" aca="1" ref="R19" ca="1">IF($C19="S",REFERENCIA.Descricao,"(digite a descrição aqui)")</f>
        <v>(Código não identificado nas referências)</v>
      </c>
      <c r="S19" s="121" t="s">
        <v>639</v>
      </c>
      <c r="T19" s="122">
        <f ca="1">OFFSET(CÁLCULO!H$15,ROW($T19)-ROW(T$15),0)</f>
        <v>2</v>
      </c>
      <c r="U19" s="123">
        <v>136.57</v>
      </c>
      <c r="V19" s="124" t="s">
        <v>663</v>
      </c>
      <c r="W19" s="122" cm="1">
        <f t="array" aca="1" ref="W19" ca="1">IF($C19="S",ROUND(IF(TIPOORCAMENTO="Proposto",ORÇAMENTO.CustoUnitario*(1+$AH19),ORÇAMENTO.PrecoUnitarioLicitado),15-13*$AF$10),0)</f>
        <v>169.66</v>
      </c>
      <c r="X19" s="125" cm="1">
        <f t="array" aca="1" ref="X19" ca="1">IF($C19="S",IF(OR(Import.TipoArredondamento&lt;&gt;"TransfereGOV",ACOMPANHAMENTO="BM"),VTOTAL1,SUM(OFFSET(CÁLCULO!$AA$15,ROW($X19)-ROW($X$15),1):OFFSET(CÁLCULO!$AL$15,ROW($X19)-ROW($X$15),-1))),IF($C19=0,0,ROUND(SomaAgrup,15-13*$AF$11)))</f>
        <v>339.32</v>
      </c>
      <c r="Y19" s="126" t="s">
        <v>751</v>
      </c>
      <c r="Z19" t="str">
        <f t="shared" ca="1" si="13"/>
        <v>RA</v>
      </c>
      <c r="AA19" s="127" cm="1">
        <f t="array" aca="1" ref="AA19" ca="1">IF($C19="S",IF($Z19="CP",$X19,IF($Z19="RA",(($X19)*QCI!$AA$3),0)),SomaAgrup)</f>
        <v>27.678758697013439</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SICRO 5216111</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t="shared" ca="1" si="14"/>
        <v>0.24229999999999999</v>
      </c>
      <c r="AJ19" s="431"/>
      <c r="AL19" s="439">
        <v>137.52000000000001</v>
      </c>
      <c r="AM19" s="336">
        <f t="shared" ca="1" si="0"/>
        <v>339.32</v>
      </c>
      <c r="AN19" s="470" cm="1">
        <f t="array" aca="1" ref="AN19" ca="1">ROUND(ORÇAMENTO.CustoUnitario*(1+$AH19),2)</f>
        <v>169.66</v>
      </c>
    </row>
    <row r="20" spans="1:40" x14ac:dyDescent="0.2">
      <c r="A20" t="str">
        <f>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IF($C20=1,OFFSET(E20,-1,0)+MAX(1,COUNTIF(QCI!$A$13:$A$24,OFFSET(ORÇAMENTO!E20,-1,0))),OFFSET(E20,-1,0))</f>
        <v>1</v>
      </c>
      <c r="F20">
        <f ca="1">IF($C20=1,0,IF($C20=2,OFFSET(F20,-1,0)+1,OFFSET(F20,-1,0)))</f>
        <v>1</v>
      </c>
      <c r="G20">
        <f ca="1">IF(AND($C20&lt;=2,$C20&lt;&gt;0),0,IF($C20=3,OFFSET(G20,-1,0)+1,OFFSET(G20,-1,0)))</f>
        <v>0</v>
      </c>
      <c r="H20">
        <f ca="1">IF(AND($C20&lt;=3,$C20&lt;&gt;0),0,IF($C20=4,OFFSET(H20,-1,0)+1,OFFSET(H20,-1,0)))</f>
        <v>0</v>
      </c>
      <c r="I20">
        <f ca="1">IF(AND($C20&lt;=4,$C20&lt;&gt;0),0,IF(AND($C20="S",$X20&gt;0),OFFSET(I20,-1,0)+1,OFFSET(I20,-1,0)))</f>
        <v>3</v>
      </c>
      <c r="J20">
        <f t="shared" ca="1" si="9"/>
        <v>0</v>
      </c>
      <c r="K20">
        <f ca="1">IF(OR($C20="S",$C20=0),0,MATCH(OFFSET($D20,0,$C20)+IF($C20&lt;&gt;1,1,COUNTIF(QCI!$A$13:$A$24,ORÇAMENTO!E20)),OFFSET($D20,1,$C20,ROW($C$44)-ROW($C20)),0))</f>
        <v>0</v>
      </c>
      <c r="L20" s="114" t="str">
        <f ca="1">IF(OR($X20&gt;0,$C20=1,$C20=2,$C20=3,$C20=4),"F","")</f>
        <v>F</v>
      </c>
      <c r="M20" s="115" t="s">
        <v>705</v>
      </c>
      <c r="N20" s="116" t="str">
        <f ca="1">CHOOSE(1+LOG(1+2*(C20=1)+4*(C20=2)+8*(C20=3)+16*(C20=4)+32*(C20="S"),2),"","Meta","Nível 2","Nível 3","Nível 4","Serviço")</f>
        <v>Serviço</v>
      </c>
      <c r="O20" s="117" t="str">
        <f ca="1">IF(OR($C20=0,$L20=""),"-",CONCATENATE(E20&amp;".",IF(AND($A$5&gt;=2,$C20&gt;=2),F20&amp;".",""),IF(AND($A$5&gt;=3,$C20&gt;=3),G20&amp;".",""),IF(AND($A$5&gt;=4,$C20&gt;=4),H20&amp;".",""),IF($C20="S",I20&amp;".","")))</f>
        <v>1.1.3.</v>
      </c>
      <c r="P20" s="118" t="s">
        <v>956</v>
      </c>
      <c r="Q20" s="119" t="s">
        <v>1040</v>
      </c>
      <c r="R20" s="120" t="str" cm="1">
        <f t="array" aca="1" ref="R20" ca="1">IF($C20="S",REFERENCIA.Descricao,"(digite a descrição aqui)")</f>
        <v>(Código não identificado nas referências)</v>
      </c>
      <c r="S20" s="121" t="s">
        <v>639</v>
      </c>
      <c r="T20" s="122">
        <f ca="1">OFFSET(CÁLCULO!H$15,ROW($T20)-ROW(T$15),0)</f>
        <v>1</v>
      </c>
      <c r="U20" s="123">
        <v>8766.59</v>
      </c>
      <c r="V20" s="124" t="s">
        <v>663</v>
      </c>
      <c r="W20" s="122" cm="1">
        <f t="array" aca="1" ref="W20" ca="1">IF($C20="S",ROUND(IF(TIPOORCAMENTO="Proposto",ORÇAMENTO.CustoUnitario*(1+$AH20),ORÇAMENTO.PrecoUnitarioLicitado),15-13*$AF$10),0)</f>
        <v>10890.73</v>
      </c>
      <c r="X20" s="125" cm="1">
        <f t="array" aca="1" ref="X20" ca="1">IF($C20="S",IF(OR(Import.TipoArredondamento&lt;&gt;"TransfereGOV",ACOMPANHAMENTO="BM"),VTOTAL1,SUM(OFFSET(CÁLCULO!$AA$15,ROW($X20)-ROW($X$15),1):OFFSET(CÁLCULO!$AL$15,ROW($X20)-ROW($X$15),-1))),IF($C20=0,0,ROUND(SomaAgrup,15-13*$AF$11)))</f>
        <v>10890.74</v>
      </c>
      <c r="Y20" s="126" t="s">
        <v>751</v>
      </c>
      <c r="Z20" t="str">
        <f ca="1">IF(AND($C20="S",$X20&gt;0),IF(ISBLANK($Y20),"RA",LEFT($Y20,2)),"")</f>
        <v>RA</v>
      </c>
      <c r="AA20" s="127" cm="1">
        <f t="array" aca="1" ref="AA20" ca="1">IF($C20="S",IF($Z20="CP",$X20,IF($Z20="RA",(($X20)*QCI!$AA$3),0)),SomaAgrup)</f>
        <v>888.37134413507056</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Composição 2</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ca="1">ROUND(IF(ISNUMBER(ORÇAMENTO.OpcaoBDI),ORÇAMENTO.OpcaoBDI,IF(LEFT(ORÇAMENTO.OpcaoBDI,3)="BDI",HLOOKUP(ORÇAMENTO.OpcaoBDI,$F$4:$H$5,2,FALSE),0)),15-11*$AF$9)</f>
        <v>0.24229999999999999</v>
      </c>
      <c r="AJ20" s="431"/>
      <c r="AL20" s="439"/>
      <c r="AM20" s="336">
        <f t="shared" ca="1" si="0"/>
        <v>10890.74</v>
      </c>
      <c r="AN20" s="470" cm="1">
        <f t="array" aca="1" ref="AN20" ca="1">ROUND(ORÇAMENTO.CustoUnitario*(1+$AH20),2)</f>
        <v>10890.73</v>
      </c>
    </row>
    <row r="21" spans="1:40" x14ac:dyDescent="0.2">
      <c r="A21">
        <f t="shared" si="1"/>
        <v>2</v>
      </c>
      <c r="B21">
        <f t="shared" ca="1" si="2"/>
        <v>2</v>
      </c>
      <c r="C21">
        <f t="shared" ca="1" si="3"/>
        <v>2</v>
      </c>
      <c r="D21">
        <f t="shared" ca="1" si="4"/>
        <v>6</v>
      </c>
      <c r="E21">
        <f ca="1">IF($C21=1,OFFSET(E21,-1,0)+MAX(1,COUNTIF(QCI!$A$13:$A$24,OFFSET(ORÇAMENTO!E21,-1,0))),OFFSET(E21,-1,0))</f>
        <v>1</v>
      </c>
      <c r="F21">
        <f t="shared" ca="1" si="5"/>
        <v>2</v>
      </c>
      <c r="G21">
        <f t="shared" ca="1" si="6"/>
        <v>0</v>
      </c>
      <c r="H21">
        <f t="shared" ca="1" si="7"/>
        <v>0</v>
      </c>
      <c r="I21">
        <f t="shared" ca="1" si="8"/>
        <v>0</v>
      </c>
      <c r="J21">
        <f t="shared" ca="1" si="9"/>
        <v>23</v>
      </c>
      <c r="K21">
        <f ca="1">IF(OR($C21="S",$C21=0),0,MATCH(OFFSET($D21,0,$C21)+IF($C21&lt;&gt;1,1,COUNTIF(QCI!$A$13:$A$24,ORÇAMENTO!E21)),OFFSET($D21,1,$C21,ROW($C$44)-ROW($C21)),0))</f>
        <v>6</v>
      </c>
      <c r="L21" s="114" t="str">
        <f t="shared" ca="1" si="10"/>
        <v>F</v>
      </c>
      <c r="M21" s="115" t="s">
        <v>702</v>
      </c>
      <c r="N21" s="116" t="str">
        <f t="shared" ca="1" si="11"/>
        <v>Nível 2</v>
      </c>
      <c r="O21" s="117" t="str">
        <f t="shared" ca="1" si="12"/>
        <v>1.2.</v>
      </c>
      <c r="P21" s="118" t="s">
        <v>750</v>
      </c>
      <c r="Q21" s="119"/>
      <c r="R21" s="120" t="s">
        <v>784</v>
      </c>
      <c r="S21" s="121" t="str" cm="1">
        <f t="array" aca="1" ref="S21" ca="1">REFERENCIA.Unidade</f>
        <v>-</v>
      </c>
      <c r="T21" s="122">
        <f ca="1">OFFSET(CÁLCULO!H$15,ROW($T21)-ROW(T$15),0)</f>
        <v>0</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13516.45</v>
      </c>
      <c r="Y21" s="126" t="s">
        <v>751</v>
      </c>
      <c r="Z21" t="str">
        <f t="shared" ca="1" si="13"/>
        <v/>
      </c>
      <c r="AA21" s="127" cm="1">
        <f t="array" aca="1" ref="AA21" ca="1">IF($C21="S",IF($Z21="CP",$X21,IF($Z21="RA",(($X21)*QCI!$AA$3),0)),SomaAgrup)</f>
        <v>1102.5538075864886</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IF(C21&lt;=CRONO.NivelExibicao,MAX($AD$15:OFFSET(AD21,-1,0))+IF($C21&lt;&gt;1,1,MAX(1,COUNTIF(QCI!$A$13:$A$24,OFFSET($E21,-1,0)))),"")</f>
        <v>3</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t="shared" ca="1" si="14"/>
        <v>0.24229999999999999</v>
      </c>
      <c r="AJ21" s="431"/>
      <c r="AL21" s="439"/>
      <c r="AM21" s="336">
        <f t="shared" ca="1" si="0"/>
        <v>13516.45</v>
      </c>
      <c r="AN21" s="470" cm="1">
        <f t="array" aca="1" ref="AN21" ca="1">ROUND(ORÇAMENTO.CustoUnitario*(1+$AH21),2)</f>
        <v>0</v>
      </c>
    </row>
    <row r="22" spans="1:40" x14ac:dyDescent="0.2">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1</v>
      </c>
      <c r="J22">
        <f t="shared" ca="1" si="9"/>
        <v>0</v>
      </c>
      <c r="K22">
        <f ca="1">IF(OR($C22="S",$C22=0),0,MATCH(OFFSET($D22,0,$C22)+IF($C22&lt;&gt;1,1,COUNTIF(QCI!$A$13:$A$24,ORÇAMENTO!E22)),OFFSET($D22,1,$C22,ROW($C$44)-ROW($C22)),0))</f>
        <v>0</v>
      </c>
      <c r="L22" s="114" t="str">
        <f t="shared" ca="1" si="10"/>
        <v>F</v>
      </c>
      <c r="M22" s="115" t="s">
        <v>705</v>
      </c>
      <c r="N22" s="116" t="str">
        <f t="shared" ca="1" si="11"/>
        <v>Serviço</v>
      </c>
      <c r="O22" s="117" t="str">
        <f t="shared" ca="1" si="12"/>
        <v>1.2.1.</v>
      </c>
      <c r="P22" s="118" t="s">
        <v>750</v>
      </c>
      <c r="Q22" s="119" t="s">
        <v>1034</v>
      </c>
      <c r="R22" s="120" t="str" cm="1">
        <f t="array" aca="1" ref="R22" ca="1">IF($C22="S",REFERENCIA.Descricao,"(digite a descrição aqui)")</f>
        <v>(Código não identificado nas referências)</v>
      </c>
      <c r="S22" s="121" t="str" cm="1">
        <f t="array" aca="1" ref="S22" ca="1">REFERENCIA.Unidade</f>
        <v>-</v>
      </c>
      <c r="T22" s="122">
        <f ca="1">OFFSET(CÁLCULO!H$15,ROW($T22)-ROW(T$15),0)</f>
        <v>60</v>
      </c>
      <c r="U22" s="123">
        <v>47.82</v>
      </c>
      <c r="V22" s="124" t="s">
        <v>663</v>
      </c>
      <c r="W22" s="122" cm="1">
        <f t="array" aca="1" ref="W22" ca="1">IF($C22="S",ROUND(IF(TIPOORCAMENTO="Proposto",ORÇAMENTO.CustoUnitario*(1+$AH22),ORÇAMENTO.PrecoUnitarioLicitado),15-13*$AF$10),0)</f>
        <v>59.41</v>
      </c>
      <c r="X22" s="125" cm="1">
        <f t="array" aca="1" ref="X22" ca="1">IF($C22="S",IF(OR(Import.TipoArredondamento&lt;&gt;"TransfereGOV",ACOMPANHAMENTO="BM"),VTOTAL1,SUM(OFFSET(CÁLCULO!$AA$15,ROW($X22)-ROW($X$15),1):OFFSET(CÁLCULO!$AL$15,ROW($X22)-ROW($X$15),-1))),IF($C22=0,0,ROUND(SomaAgrup,15-13*$AF$11)))</f>
        <v>3564.6</v>
      </c>
      <c r="Y22" s="126" t="s">
        <v>751</v>
      </c>
      <c r="Z22" t="str">
        <f t="shared" ca="1" si="13"/>
        <v>RA</v>
      </c>
      <c r="AA22" s="127" cm="1">
        <f t="array" aca="1" ref="AA22" ca="1">IF($C22="S",IF($Z22="CP",$X22,IF($Z22="RA",(($X22)*QCI!$AA$3),0)),SomaAgrup)</f>
        <v>290.7689003046508</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90781</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0.24229999999999999</v>
      </c>
      <c r="AJ22" s="431"/>
      <c r="AL22" s="439">
        <v>8974.14</v>
      </c>
      <c r="AM22" s="336">
        <f t="shared" ca="1" si="0"/>
        <v>3564.6</v>
      </c>
      <c r="AN22" s="470" cm="1">
        <f t="array" aca="1" ref="AN22" ca="1">ROUND(ORÇAMENTO.CustoUnitario*(1+$AH22),2)</f>
        <v>59.41</v>
      </c>
    </row>
    <row r="23" spans="1:40" x14ac:dyDescent="0.2">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2</v>
      </c>
      <c r="J23">
        <f t="shared" ca="1" si="9"/>
        <v>0</v>
      </c>
      <c r="K23">
        <f ca="1">IF(OR($C23="S",$C23=0),0,MATCH(OFFSET($D23,0,$C23)+IF($C23&lt;&gt;1,1,COUNTIF(QCI!$A$13:$A$24,ORÇAMENTO!E23)),OFFSET($D23,1,$C23,ROW($C$44)-ROW($C23)),0))</f>
        <v>0</v>
      </c>
      <c r="L23" s="114" t="str">
        <f t="shared" ca="1" si="10"/>
        <v>F</v>
      </c>
      <c r="M23" s="115" t="s">
        <v>705</v>
      </c>
      <c r="N23" s="116" t="str">
        <f t="shared" ca="1" si="11"/>
        <v>Serviço</v>
      </c>
      <c r="O23" s="117" t="str">
        <f t="shared" ca="1" si="12"/>
        <v>1.2.2.</v>
      </c>
      <c r="P23" s="118" t="s">
        <v>750</v>
      </c>
      <c r="Q23" s="119" t="s">
        <v>1035</v>
      </c>
      <c r="R23" s="120" t="str" cm="1">
        <f t="array" aca="1" ref="R23" ca="1">IF($C23="S",REFERENCIA.Descricao,"(digite a descrição aqui)")</f>
        <v>(Código não identificado nas referências)</v>
      </c>
      <c r="S23" s="121" t="s">
        <v>615</v>
      </c>
      <c r="T23" s="122">
        <f ca="1">OFFSET(CÁLCULO!H$15,ROW($T23)-ROW(T$15),0)</f>
        <v>60</v>
      </c>
      <c r="U23" s="123">
        <v>24.37</v>
      </c>
      <c r="V23" s="124" t="s">
        <v>663</v>
      </c>
      <c r="W23" s="122" cm="1">
        <f t="array" aca="1" ref="W23" ca="1">IF($C23="S",ROUND(IF(TIPOORCAMENTO="Proposto",ORÇAMENTO.CustoUnitario*(1+$AH23),ORÇAMENTO.PrecoUnitarioLicitado),15-13*$AF$10),0)</f>
        <v>30.27</v>
      </c>
      <c r="X23" s="125" cm="1">
        <f t="array" aca="1" ref="X23" ca="1">IF($C23="S",IF(OR(Import.TipoArredondamento&lt;&gt;"TransfereGOV",ACOMPANHAMENTO="BM"),VTOTAL1,SUM(OFFSET(CÁLCULO!$AA$15,ROW($X23)-ROW($X$15),1):OFFSET(CÁLCULO!$AL$15,ROW($X23)-ROW($X$15),-1))),IF($C23=0,0,ROUND(SomaAgrup,15-13*$AF$11)))</f>
        <v>1816.2</v>
      </c>
      <c r="Y23" s="126" t="s">
        <v>751</v>
      </c>
      <c r="Z23" t="str">
        <f t="shared" ca="1" si="13"/>
        <v>RA</v>
      </c>
      <c r="AA23" s="127" cm="1">
        <f t="array" aca="1" ref="AA23" ca="1">IF($C23="S",IF($Z23="CP",$X23,IF($Z23="RA",(($X23)*QCI!$AA$3),0)),SomaAgrup)</f>
        <v>148.14971574182428</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88253</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0.24229999999999999</v>
      </c>
      <c r="AJ23" s="431"/>
      <c r="AL23" s="439">
        <v>4331.8100000000004</v>
      </c>
      <c r="AM23" s="336">
        <f t="shared" ca="1" si="0"/>
        <v>1816.2</v>
      </c>
      <c r="AN23" s="470" cm="1">
        <f t="array" aca="1" ref="AN23" ca="1">ROUND(ORÇAMENTO.CustoUnitario*(1+$AH23),2)</f>
        <v>30.27</v>
      </c>
    </row>
    <row r="24" spans="1:40" ht="25.5" x14ac:dyDescent="0.2">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3</v>
      </c>
      <c r="J24">
        <f t="shared" ca="1" si="9"/>
        <v>0</v>
      </c>
      <c r="K24">
        <f ca="1">IF(OR($C24="S",$C24=0),0,MATCH(OFFSET($D24,0,$C24)+IF($C24&lt;&gt;1,1,COUNTIF(QCI!$A$13:$A$24,ORÇAMENTO!E24)),OFFSET($D24,1,$C24,ROW($C$44)-ROW($C24)),0))</f>
        <v>0</v>
      </c>
      <c r="L24" s="114" t="str">
        <f t="shared" ca="1" si="10"/>
        <v>F</v>
      </c>
      <c r="M24" s="115" t="s">
        <v>705</v>
      </c>
      <c r="N24" s="116" t="str">
        <f t="shared" ca="1" si="11"/>
        <v>Serviço</v>
      </c>
      <c r="O24" s="117" t="str">
        <f t="shared" ca="1" si="12"/>
        <v>1.2.3.</v>
      </c>
      <c r="P24" s="118" t="s">
        <v>750</v>
      </c>
      <c r="Q24" s="119" t="s">
        <v>1036</v>
      </c>
      <c r="R24" s="120" t="str" cm="1">
        <f t="array" aca="1" ref="R24" ca="1">IF($C24="S",REFERENCIA.Descricao,"(digite a descrição aqui)")</f>
        <v>(Código não identificado nas referências)</v>
      </c>
      <c r="S24" s="121" t="str" cm="1">
        <f t="array" aca="1" ref="S24" ca="1">REFERENCIA.Unidade</f>
        <v>-</v>
      </c>
      <c r="T24" s="122">
        <f ca="1">OFFSET(CÁLCULO!H$15,ROW($T24)-ROW(T$15),0)</f>
        <v>25</v>
      </c>
      <c r="U24" s="123">
        <v>139.01</v>
      </c>
      <c r="V24" s="124" t="s">
        <v>663</v>
      </c>
      <c r="W24" s="122" cm="1">
        <f t="array" aca="1" ref="W24" ca="1">IF($C24="S",ROUND(IF(TIPOORCAMENTO="Proposto",ORÇAMENTO.CustoUnitario*(1+$AH24),ORÇAMENTO.PrecoUnitarioLicitado),15-13*$AF$10),0)</f>
        <v>172.69</v>
      </c>
      <c r="X24" s="125" cm="1">
        <f t="array" aca="1" ref="X24" ca="1">IF($C24="S",IF(OR(Import.TipoArredondamento&lt;&gt;"TransfereGOV",ACOMPANHAMENTO="BM"),VTOTAL1,SUM(OFFSET(CÁLCULO!$AA$15,ROW($X24)-ROW($X$15),1):OFFSET(CÁLCULO!$AL$15,ROW($X24)-ROW($X$15),-1))),IF($C24=0,0,ROUND(SomaAgrup,15-13*$AF$11)))</f>
        <v>4317.25</v>
      </c>
      <c r="Y24" s="126" t="s">
        <v>751</v>
      </c>
      <c r="Z24" t="str">
        <f t="shared" ca="1" si="13"/>
        <v>RA</v>
      </c>
      <c r="AA24" s="127" cm="1">
        <f t="array" aca="1" ref="AA24" ca="1">IF($C24="S",IF($Z24="CP",$X24,IF($Z24="RA",(($X24)*QCI!$AA$3),0)),SomaAgrup)</f>
        <v>352.16350637946857</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SINAPI 90777</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ca="1" si="14"/>
        <v>0.24229999999999999</v>
      </c>
      <c r="AJ24" s="431"/>
      <c r="AL24" s="439">
        <v>166.49</v>
      </c>
      <c r="AM24" s="336">
        <f t="shared" ca="1" si="0"/>
        <v>4317.25</v>
      </c>
      <c r="AN24" s="470" cm="1">
        <f t="array" aca="1" ref="AN24" ca="1">ROUND(ORÇAMENTO.CustoUnitario*(1+$AH24),2)</f>
        <v>172.69</v>
      </c>
    </row>
    <row r="25" spans="1:40" x14ac:dyDescent="0.2">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4</v>
      </c>
      <c r="J25">
        <f t="shared" ca="1" si="9"/>
        <v>0</v>
      </c>
      <c r="K25">
        <f ca="1">IF(OR($C25="S",$C25=0),0,MATCH(OFFSET($D25,0,$C25)+IF($C25&lt;&gt;1,1,COUNTIF(QCI!$A$13:$A$24,ORÇAMENTO!E25)),OFFSET($D25,1,$C25,ROW($C$44)-ROW($C25)),0))</f>
        <v>0</v>
      </c>
      <c r="L25" s="114" t="str">
        <f t="shared" ca="1" si="10"/>
        <v>F</v>
      </c>
      <c r="M25" s="115" t="s">
        <v>705</v>
      </c>
      <c r="N25" s="116" t="str">
        <f t="shared" ca="1" si="11"/>
        <v>Serviço</v>
      </c>
      <c r="O25" s="117" t="str">
        <f t="shared" ca="1" si="12"/>
        <v>1.2.4.</v>
      </c>
      <c r="P25" s="118" t="s">
        <v>750</v>
      </c>
      <c r="Q25" s="119" t="s">
        <v>1037</v>
      </c>
      <c r="R25" s="120" t="str" cm="1">
        <f t="array" aca="1" ref="R25" ca="1">IF($C25="S",REFERENCIA.Descricao,"(digite a descrição aqui)")</f>
        <v>(Código não identificado nas referências)</v>
      </c>
      <c r="S25" s="121" t="str" cm="1">
        <f t="array" aca="1" ref="S25" ca="1">REFERENCIA.Unidade</f>
        <v>-</v>
      </c>
      <c r="T25" s="122">
        <f ca="1">OFFSET(CÁLCULO!H$15,ROW($T25)-ROW(T$15),0)</f>
        <v>40</v>
      </c>
      <c r="U25" s="123">
        <v>35.409999999999997</v>
      </c>
      <c r="V25" s="124" t="s">
        <v>663</v>
      </c>
      <c r="W25" s="122" cm="1">
        <f t="array" aca="1" ref="W25" ca="1">IF($C25="S",ROUND(IF(TIPOORCAMENTO="Proposto",ORÇAMENTO.CustoUnitario*(1+$AH25),ORÇAMENTO.PrecoUnitarioLicitado),15-13*$AF$10),0)</f>
        <v>43.99</v>
      </c>
      <c r="X25" s="125" cm="1">
        <f t="array" aca="1" ref="X25" ca="1">IF($C25="S",IF(OR(Import.TipoArredondamento&lt;&gt;"TransfereGOV",ACOMPANHAMENTO="BM"),VTOTAL1,SUM(OFFSET(CÁLCULO!$AA$15,ROW($X25)-ROW($X$15),1):OFFSET(CÁLCULO!$AL$15,ROW($X25)-ROW($X$15),-1))),IF($C25=0,0,ROUND(SomaAgrup,15-13*$AF$11)))</f>
        <v>1759.6</v>
      </c>
      <c r="Y25" s="126" t="s">
        <v>751</v>
      </c>
      <c r="Z25" t="str">
        <f t="shared" ca="1" si="13"/>
        <v>RA</v>
      </c>
      <c r="AA25" s="127" cm="1">
        <f t="array" aca="1" ref="AA25" ca="1">IF($C25="S",IF($Z25="CP",$X25,IF($Z25="RA",(($X25)*QCI!$AA$3),0)),SomaAgrup)</f>
        <v>143.53278263369342</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CÓDIGO N/ID</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88249</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t="shared" ca="1" si="14"/>
        <v>0.24229999999999999</v>
      </c>
      <c r="AJ25" s="431"/>
      <c r="AL25" s="439"/>
      <c r="AM25" s="336">
        <f t="shared" ca="1" si="0"/>
        <v>1759.6</v>
      </c>
      <c r="AN25" s="470" cm="1">
        <f t="array" aca="1" ref="AN25" ca="1">ROUND(ORÇAMENTO.CustoUnitario*(1+$AH25),2)</f>
        <v>43.99</v>
      </c>
    </row>
    <row r="26" spans="1:40" x14ac:dyDescent="0.2">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5</v>
      </c>
      <c r="J26">
        <f t="shared" ca="1" si="9"/>
        <v>0</v>
      </c>
      <c r="K26">
        <f ca="1">IF(OR($C26="S",$C26=0),0,MATCH(OFFSET($D26,0,$C26)+IF($C26&lt;&gt;1,1,COUNTIF(QCI!$A$13:$A$24,ORÇAMENTO!E26)),OFFSET($D26,1,$C26,ROW($C$44)-ROW($C26)),0))</f>
        <v>0</v>
      </c>
      <c r="L26" s="114" t="str">
        <f t="shared" ca="1" si="10"/>
        <v>F</v>
      </c>
      <c r="M26" s="115" t="s">
        <v>705</v>
      </c>
      <c r="N26" s="116" t="str">
        <f t="shared" ca="1" si="11"/>
        <v>Serviço</v>
      </c>
      <c r="O26" s="117" t="str">
        <f t="shared" ca="1" si="12"/>
        <v>1.2.5.</v>
      </c>
      <c r="P26" s="118" t="s">
        <v>750</v>
      </c>
      <c r="Q26" s="119" t="s">
        <v>1038</v>
      </c>
      <c r="R26" s="120" t="str" cm="1">
        <f t="array" aca="1" ref="R26" ca="1">IF($C26="S",REFERENCIA.Descricao,"(digite a descrição aqui)")</f>
        <v>(Código não identificado nas referências)</v>
      </c>
      <c r="S26" s="121" t="str" cm="1">
        <f t="array" aca="1" ref="S26" ca="1">REFERENCIA.Unidade</f>
        <v>-</v>
      </c>
      <c r="T26" s="122">
        <f ca="1">OFFSET(CÁLCULO!H$15,ROW($T26)-ROW(T$15),0)</f>
        <v>40</v>
      </c>
      <c r="U26" s="123">
        <v>41.43</v>
      </c>
      <c r="V26" s="124" t="s">
        <v>663</v>
      </c>
      <c r="W26" s="122" cm="1">
        <f t="array" aca="1" ref="W26" ca="1">IF($C26="S",ROUND(IF(TIPOORCAMENTO="Proposto",ORÇAMENTO.CustoUnitario*(1+$AH26),ORÇAMENTO.PrecoUnitarioLicitado),15-13*$AF$10),0)</f>
        <v>51.47</v>
      </c>
      <c r="X26" s="125" cm="1">
        <f t="array" aca="1" ref="X26" ca="1">IF($C26="S",IF(OR(Import.TipoArredondamento&lt;&gt;"TransfereGOV",ACOMPANHAMENTO="BM"),VTOTAL1,SUM(OFFSET(CÁLCULO!$AA$15,ROW($X26)-ROW($X$15),1):OFFSET(CÁLCULO!$AL$15,ROW($X26)-ROW($X$15),-1))),IF($C26=0,0,ROUND(SomaAgrup,15-13*$AF$11)))</f>
        <v>2058.8000000000002</v>
      </c>
      <c r="Y26" s="126" t="s">
        <v>751</v>
      </c>
      <c r="Z26" t="str">
        <f t="shared" ca="1" si="13"/>
        <v>RA</v>
      </c>
      <c r="AA26" s="127" cm="1">
        <f t="array" aca="1" ref="AA26" ca="1">IF($C26="S",IF($Z26="CP",$X26,IF($Z26="RA",(($X26)*QCI!$AA$3),0)),SomaAgrup)</f>
        <v>167.93890252685156</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SINAPI 88321</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4"/>
        <v>0.24229999999999999</v>
      </c>
      <c r="AJ26" s="431"/>
      <c r="AL26" s="439"/>
      <c r="AM26" s="336">
        <f t="shared" ca="1" si="0"/>
        <v>2058.8000000000002</v>
      </c>
      <c r="AN26" s="470" cm="1">
        <f t="array" aca="1" ref="AN26" ca="1">ROUND(ORÇAMENTO.CustoUnitario*(1+$AH26),2)</f>
        <v>51.47</v>
      </c>
    </row>
    <row r="27" spans="1:40" x14ac:dyDescent="0.2">
      <c r="A27">
        <f t="shared" si="1"/>
        <v>2</v>
      </c>
      <c r="B27">
        <f t="shared" ca="1" si="2"/>
        <v>2</v>
      </c>
      <c r="C27">
        <f t="shared" ca="1" si="3"/>
        <v>2</v>
      </c>
      <c r="D27">
        <f t="shared" ca="1" si="4"/>
        <v>3</v>
      </c>
      <c r="E27">
        <f ca="1">IF($C27=1,OFFSET(E27,-1,0)+MAX(1,COUNTIF(QCI!$A$13:$A$24,OFFSET(ORÇAMENTO!E27,-1,0))),OFFSET(E27,-1,0))</f>
        <v>1</v>
      </c>
      <c r="F27">
        <f t="shared" ca="1" si="5"/>
        <v>3</v>
      </c>
      <c r="G27">
        <f t="shared" ca="1" si="6"/>
        <v>0</v>
      </c>
      <c r="H27">
        <f t="shared" ca="1" si="7"/>
        <v>0</v>
      </c>
      <c r="I27">
        <f t="shared" ca="1" si="8"/>
        <v>0</v>
      </c>
      <c r="J27">
        <f t="shared" ca="1" si="9"/>
        <v>17</v>
      </c>
      <c r="K27">
        <f ca="1">IF(OR($C27="S",$C27=0),0,MATCH(OFFSET($D27,0,$C27)+IF($C27&lt;&gt;1,1,COUNTIF(QCI!$A$13:$A$24,ORÇAMENTO!E27)),OFFSET($D27,1,$C27,ROW($C$44)-ROW($C27)),0))</f>
        <v>3</v>
      </c>
      <c r="L27" s="114" t="str">
        <f t="shared" ca="1" si="10"/>
        <v>F</v>
      </c>
      <c r="M27" s="115" t="s">
        <v>702</v>
      </c>
      <c r="N27" s="116" t="str">
        <f t="shared" ca="1" si="11"/>
        <v>Nível 2</v>
      </c>
      <c r="O27" s="117" t="str">
        <f t="shared" ca="1" si="12"/>
        <v>1.3.</v>
      </c>
      <c r="P27" s="118" t="s">
        <v>750</v>
      </c>
      <c r="Q27" s="119"/>
      <c r="R27" s="120" t="s">
        <v>1009</v>
      </c>
      <c r="S27" s="121" t="str" cm="1">
        <f t="array" aca="1" ref="S27" ca="1">REFERENCIA.Unidade</f>
        <v>-</v>
      </c>
      <c r="T27" s="122">
        <f ca="1">OFFSET(CÁLCULO!H$15,ROW($T27)-ROW(T$15),0)</f>
        <v>0</v>
      </c>
      <c r="U27" s="123"/>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8450.51</v>
      </c>
      <c r="Y27" s="126" t="s">
        <v>751</v>
      </c>
      <c r="Z27" t="str">
        <f t="shared" ca="1" si="13"/>
        <v/>
      </c>
      <c r="AA27" s="127" cm="1">
        <f t="array" aca="1" ref="AA27" ca="1">IF($C27="S",IF($Z27="CP",$X27,IF($Z27="RA",(($X27)*QCI!$AA$3),0)),SomaAgrup)</f>
        <v>689.31871730725879</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f ca="1">IF(C27&lt;=CRONO.NivelExibicao,MAX($AD$15:OFFSET(AD27,-1,0))+IF($C27&lt;&gt;1,1,MAX(1,COUNTIF(QCI!$A$13:$A$24,OFFSET($E27,-1,0)))),"")</f>
        <v>4</v>
      </c>
      <c r="AE27" s="7" t="b" cm="1">
        <f t="array" aca="1" ref="AE27" ca="1">IF(AND($C27="S",ORÇAMENTO.CodBarra&lt;&gt;""),IF(ORÇAMENTO.Fonte="",ORÇAMENTO.CodBarra,CONCATENATE(ORÇAMENTO.Fonte," ",ORÇAMENTO.CodBarra)))</f>
        <v>0</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(Sem Código)</v>
      </c>
      <c r="AG27" s="428" cm="1">
        <f t="array" aca="1" ref="AG27" ca="1">ROUND(IF(DESONERACAO="sim",REFERENCIA.Desonerado,REFERENCIA.NaoDesonerado),2)</f>
        <v>0</v>
      </c>
      <c r="AH27" s="429">
        <f t="shared" ca="1" si="14"/>
        <v>0.24229999999999999</v>
      </c>
      <c r="AJ27" s="431"/>
      <c r="AL27" s="439"/>
      <c r="AM27" s="336">
        <f t="shared" ca="1" si="0"/>
        <v>8450.51</v>
      </c>
      <c r="AN27" s="470" cm="1">
        <f t="array" aca="1" ref="AN27" ca="1">ROUND(ORÇAMENTO.CustoUnitario*(1+$AH27),2)</f>
        <v>0</v>
      </c>
    </row>
    <row r="28" spans="1:40" ht="38.25" x14ac:dyDescent="0.2">
      <c r="A28" t="str">
        <f>CHOOSE(1+LOG(1+2*(ORÇAMENTO.Nivel="Meta")+4*(ORÇAMENTO.Nivel="Nível 2")+8*(ORÇAMENTO.Nivel="Nível 3")+16*(ORÇAMENTO.Nivel="Nível 4")+32*(ORÇAMENTO.Nivel="Serviço"),2),0,1,2,3,4,"S")</f>
        <v>S</v>
      </c>
      <c r="B28">
        <f ca="1">IF(OR(C28="s",C28=0),OFFSET(B28,-1,0),C28)</f>
        <v>2</v>
      </c>
      <c r="C28" t="str">
        <f ca="1">IF(OFFSET(C28,-1,0)="L",1,IF(OFFSET(C28,-1,0)=1,2,IF(OR(A28="s",A28=0),"S",IF(AND(OFFSET(C28,-1,0)=2,A28=4),3,IF(AND(OR(OFFSET(C28,-1,0)="s",OFFSET(C28,-1,0)=0),A28&lt;&gt;"s",A28&gt;OFFSET(B28,-1,0)),OFFSET(B28,-1,0),A28)))))</f>
        <v>S</v>
      </c>
      <c r="D28">
        <f ca="1">IF(OR(C28="S",C28=0),0,IF(ISERROR(K28),J28,SMALL(J28:K28,1)))</f>
        <v>0</v>
      </c>
      <c r="E28">
        <f ca="1">IF($C28=1,OFFSET(E28,-1,0)+MAX(1,COUNTIF(QCI!$A$13:$A$24,OFFSET(ORÇAMENTO!E28,-1,0))),OFFSET(E28,-1,0))</f>
        <v>1</v>
      </c>
      <c r="F28">
        <f ca="1">IF($C28=1,0,IF($C28=2,OFFSET(F28,-1,0)+1,OFFSET(F28,-1,0)))</f>
        <v>3</v>
      </c>
      <c r="G28">
        <f ca="1">IF(AND($C28&lt;=2,$C28&lt;&gt;0),0,IF($C28=3,OFFSET(G28,-1,0)+1,OFFSET(G28,-1,0)))</f>
        <v>0</v>
      </c>
      <c r="H28">
        <f ca="1">IF(AND($C28&lt;=3,$C28&lt;&gt;0),0,IF($C28=4,OFFSET(H28,-1,0)+1,OFFSET(H28,-1,0)))</f>
        <v>0</v>
      </c>
      <c r="I28">
        <f ca="1">IF(AND($C28&lt;=4,$C28&lt;&gt;0),0,IF(AND($C28="S",$X28&gt;0),OFFSET(I28,-1,0)+1,OFFSET(I28,-1,0)))</f>
        <v>1</v>
      </c>
      <c r="J28">
        <f t="shared" ca="1" si="9"/>
        <v>0</v>
      </c>
      <c r="K28">
        <f ca="1">IF(OR($C28="S",$C28=0),0,MATCH(OFFSET($D28,0,$C28)+IF($C28&lt;&gt;1,1,COUNTIF(QCI!$A$13:$A$24,ORÇAMENTO!E28)),OFFSET($D28,1,$C28,ROW($C$44)-ROW($C28)),0))</f>
        <v>0</v>
      </c>
      <c r="L28" s="114" t="str">
        <f ca="1">IF(OR($X28&gt;0,$C28=1,$C28=2,$C28=3,$C28=4),"F","")</f>
        <v>F</v>
      </c>
      <c r="M28" s="115" t="s">
        <v>705</v>
      </c>
      <c r="N28" s="116" t="str">
        <f ca="1">CHOOSE(1+LOG(1+2*(C28=1)+4*(C28=2)+8*(C28=3)+16*(C28=4)+32*(C28="S"),2),"","Meta","Nível 2","Nível 3","Nível 4","Serviço")</f>
        <v>Serviço</v>
      </c>
      <c r="O28" s="117" t="str">
        <f ca="1">IF(OR($C28=0,$L28=""),"-",CONCATENATE(E28&amp;".",IF(AND($A$5&gt;=2,$C28&gt;=2),F28&amp;".",""),IF(AND($A$5&gt;=3,$C28&gt;=3),G28&amp;".",""),IF(AND($A$5&gt;=4,$C28&gt;=4),H28&amp;".",""),IF($C28="S",I28&amp;".","")))</f>
        <v>1.3.1.</v>
      </c>
      <c r="P28" s="118" t="s">
        <v>955</v>
      </c>
      <c r="Q28" s="119" t="s">
        <v>1039</v>
      </c>
      <c r="R28" s="120" t="str" cm="1">
        <f t="array" aca="1" ref="R28" ca="1">IF($C28="S",REFERENCIA.Descricao,"(digite a descrição aqui)")</f>
        <v>(Código não identificado nas referências)</v>
      </c>
      <c r="S28" s="121" t="s">
        <v>625</v>
      </c>
      <c r="T28" s="122">
        <f ca="1">OFFSET(CÁLCULO!H$15,ROW($T28)-ROW(T$15),0)</f>
        <v>657.64</v>
      </c>
      <c r="U28" s="123">
        <v>5.83</v>
      </c>
      <c r="V28" s="124" t="s">
        <v>663</v>
      </c>
      <c r="W28" s="122" cm="1">
        <f t="array" aca="1" ref="W28" ca="1">IF($C28="S",ROUND(IF(TIPOORCAMENTO="Proposto",ORÇAMENTO.CustoUnitario*(1+$AH28),ORÇAMENTO.PrecoUnitarioLicitado),15-13*$AF$10),0)</f>
        <v>7.24</v>
      </c>
      <c r="X28" s="125" cm="1">
        <f t="array" aca="1" ref="X28" ca="1">IF($C28="S",IF(OR(Import.TipoArredondamento&lt;&gt;"TransfereGOV",ACOMPANHAMENTO="BM"),VTOTAL1,SUM(OFFSET(CÁLCULO!$AA$15,ROW($X28)-ROW($X$15),1):OFFSET(CÁLCULO!$AL$15,ROW($X28)-ROW($X$15),-1))),IF($C28=0,0,ROUND(SomaAgrup,15-13*$AF$11)))</f>
        <v>4761.3100000000004</v>
      </c>
      <c r="Y28" s="126" t="s">
        <v>751</v>
      </c>
      <c r="Z28" t="str">
        <f ca="1">IF(AND($C28="S",$X28&gt;0),IF(ISBLANK($Y28),"RA",LEFT($Y28,2)),"")</f>
        <v>RA</v>
      </c>
      <c r="AA28" s="127" cm="1">
        <f t="array" aca="1" ref="AA28" ca="1">IF($C28="S",IF($Z28="CP",$X28,IF($Z28="RA",(($X28)*QCI!$AA$3),0)),SomaAgrup)</f>
        <v>388.38603846421393</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SICRO 5502161</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ca="1">ROUND(IF(ISNUMBER(ORÇAMENTO.OpcaoBDI),ORÇAMENTO.OpcaoBDI,IF(LEFT(ORÇAMENTO.OpcaoBDI,3)="BDI",HLOOKUP(ORÇAMENTO.OpcaoBDI,$F$4:$H$5,2,FALSE),0)),15-11*$AF$9)</f>
        <v>0.24229999999999999</v>
      </c>
      <c r="AJ28" s="431"/>
      <c r="AL28" s="439"/>
      <c r="AM28" s="336">
        <f t="shared" ca="1" si="0"/>
        <v>4761.3100000000004</v>
      </c>
      <c r="AN28" s="470" cm="1">
        <f t="array" aca="1" ref="AN28" ca="1">ROUND(ORÇAMENTO.CustoUnitario*(1+$AH28),2)</f>
        <v>7.24</v>
      </c>
    </row>
    <row r="29" spans="1:40" x14ac:dyDescent="0.2">
      <c r="A29" t="str">
        <f t="shared" si="1"/>
        <v>S</v>
      </c>
      <c r="B29">
        <f t="shared" ca="1" si="2"/>
        <v>2</v>
      </c>
      <c r="C29" t="str">
        <f t="shared" ca="1" si="3"/>
        <v>S</v>
      </c>
      <c r="D29">
        <f t="shared" ca="1" si="4"/>
        <v>0</v>
      </c>
      <c r="E29">
        <f ca="1">IF($C29=1,OFFSET(E29,-1,0)+MAX(1,COUNTIF(QCI!$A$13:$A$24,OFFSET(ORÇAMENTO!E29,-1,0))),OFFSET(E29,-1,0))</f>
        <v>1</v>
      </c>
      <c r="F29">
        <f t="shared" ca="1" si="5"/>
        <v>3</v>
      </c>
      <c r="G29">
        <f t="shared" ca="1" si="6"/>
        <v>0</v>
      </c>
      <c r="H29">
        <f t="shared" ca="1" si="7"/>
        <v>0</v>
      </c>
      <c r="I29">
        <f t="shared" ca="1" si="8"/>
        <v>2</v>
      </c>
      <c r="J29">
        <f t="shared" ca="1" si="9"/>
        <v>0</v>
      </c>
      <c r="K29">
        <f ca="1">IF(OR($C29="S",$C29=0),0,MATCH(OFFSET($D29,0,$C29)+IF($C29&lt;&gt;1,1,COUNTIF(QCI!$A$13:$A$24,ORÇAMENTO!E29)),OFFSET($D29,1,$C29,ROW($C$44)-ROW($C29)),0))</f>
        <v>0</v>
      </c>
      <c r="L29" s="114" t="str">
        <f t="shared" ca="1" si="10"/>
        <v>F</v>
      </c>
      <c r="M29" s="115" t="s">
        <v>705</v>
      </c>
      <c r="N29" s="116" t="str">
        <f t="shared" ca="1" si="11"/>
        <v>Serviço</v>
      </c>
      <c r="O29" s="117" t="str">
        <f t="shared" ca="1" si="12"/>
        <v>1.3.2.</v>
      </c>
      <c r="P29" s="118" t="s">
        <v>955</v>
      </c>
      <c r="Q29" s="119" t="s">
        <v>1010</v>
      </c>
      <c r="R29" s="120" t="str" cm="1">
        <f t="array" aca="1" ref="R29" ca="1">IF($C29="S",REFERENCIA.Descricao,"(digite a descrição aqui)")</f>
        <v>(Código não identificado nas referências)</v>
      </c>
      <c r="S29" s="121" t="s">
        <v>623</v>
      </c>
      <c r="T29" s="122">
        <f ca="1">OFFSET(CÁLCULO!H$15,ROW($T29)-ROW(T$15),0)</f>
        <v>1604</v>
      </c>
      <c r="U29" s="123">
        <v>1.85</v>
      </c>
      <c r="V29" s="124" t="s">
        <v>663</v>
      </c>
      <c r="W29" s="122" cm="1">
        <f t="array" aca="1" ref="W29" ca="1">IF($C29="S",ROUND(IF(TIPOORCAMENTO="Proposto",ORÇAMENTO.CustoUnitario*(1+$AH29),ORÇAMENTO.PrecoUnitarioLicitado),15-13*$AF$10),0)</f>
        <v>2.2999999999999998</v>
      </c>
      <c r="X29" s="125" cm="1">
        <f t="array" aca="1" ref="X29" ca="1">IF($C29="S",IF(OR(Import.TipoArredondamento&lt;&gt;"TransfereGOV",ACOMPANHAMENTO="BM"),VTOTAL1,SUM(OFFSET(CÁLCULO!$AA$15,ROW($X29)-ROW($X$15),1):OFFSET(CÁLCULO!$AL$15,ROW($X29)-ROW($X$15),-1))),IF($C29=0,0,ROUND(SomaAgrup,15-13*$AF$11)))</f>
        <v>3689.2</v>
      </c>
      <c r="Y29" s="126" t="s">
        <v>751</v>
      </c>
      <c r="Z29" t="str">
        <f t="shared" ca="1" si="13"/>
        <v>RA</v>
      </c>
      <c r="AA29" s="127" cm="1">
        <f t="array" aca="1" ref="AA29" ca="1">IF($C29="S",IF($Z29="CP",$X29,IF($Z29="RA",(($X29)*QCI!$AA$3),0)),SomaAgrup)</f>
        <v>300.93267884304487</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CÓDIGO N/ID</v>
      </c>
      <c r="AD29" t="str">
        <f ca="1">IF(C29&lt;=CRONO.NivelExibicao,MAX($AD$15:OFFSET(AD29,-1,0))+IF($C29&lt;&gt;1,1,MAX(1,COUNTIF(QCI!$A$13:$A$24,OFFSET($E29,-1,0)))),"")</f>
        <v/>
      </c>
      <c r="AE29" s="7" t="str" cm="1">
        <f t="array" aca="1" ref="AE29" ca="1">IF(AND($C29="S",ORÇAMENTO.CodBarra&lt;&gt;""),IF(ORÇAMENTO.Fonte="",ORÇAMENTO.CodBarra,CONCATENATE(ORÇAMENTO.Fonte," ",ORÇAMENTO.CodBarra)))</f>
        <v>SICRO 4011209</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4"/>
        <v>0.24229999999999999</v>
      </c>
      <c r="AJ29" s="431"/>
      <c r="AL29" s="439">
        <v>1.91</v>
      </c>
      <c r="AM29" s="336">
        <f t="shared" ca="1" si="0"/>
        <v>3689.2</v>
      </c>
      <c r="AN29" s="470" cm="1">
        <f t="array" aca="1" ref="AN29" ca="1">ROUND(ORÇAMENTO.CustoUnitario*(1+$AH29),2)</f>
        <v>2.2999999999999998</v>
      </c>
    </row>
    <row r="30" spans="1:40" x14ac:dyDescent="0.2">
      <c r="A30">
        <f t="shared" si="1"/>
        <v>2</v>
      </c>
      <c r="B30">
        <f t="shared" ca="1" si="2"/>
        <v>2</v>
      </c>
      <c r="C30">
        <f t="shared" ca="1" si="3"/>
        <v>2</v>
      </c>
      <c r="D30">
        <f t="shared" ca="1" si="4"/>
        <v>7</v>
      </c>
      <c r="E30">
        <f ca="1">IF($C30=1,OFFSET(E30,-1,0)+MAX(1,COUNTIF(QCI!$A$13:$A$24,OFFSET(ORÇAMENTO!E30,-1,0))),OFFSET(E30,-1,0))</f>
        <v>1</v>
      </c>
      <c r="F30">
        <f t="shared" ca="1" si="5"/>
        <v>4</v>
      </c>
      <c r="G30">
        <f t="shared" ca="1" si="6"/>
        <v>0</v>
      </c>
      <c r="H30">
        <f t="shared" ca="1" si="7"/>
        <v>0</v>
      </c>
      <c r="I30">
        <f t="shared" ca="1" si="8"/>
        <v>0</v>
      </c>
      <c r="J30">
        <f t="shared" ca="1" si="9"/>
        <v>14</v>
      </c>
      <c r="K30">
        <f ca="1">IF(OR($C30="S",$C30=0),0,MATCH(OFFSET($D30,0,$C30)+IF($C30&lt;&gt;1,1,COUNTIF(QCI!$A$13:$A$24,ORÇAMENTO!E30)),OFFSET($D30,1,$C30,ROW($C$44)-ROW($C30)),0))</f>
        <v>7</v>
      </c>
      <c r="L30" s="114" t="str">
        <f t="shared" ca="1" si="10"/>
        <v>F</v>
      </c>
      <c r="M30" s="115" t="s">
        <v>702</v>
      </c>
      <c r="N30" s="116" t="str">
        <f t="shared" ca="1" si="11"/>
        <v>Nível 2</v>
      </c>
      <c r="O30" s="117" t="str">
        <f t="shared" ca="1" si="12"/>
        <v>1.4.</v>
      </c>
      <c r="P30" s="118" t="s">
        <v>750</v>
      </c>
      <c r="Q30" s="119"/>
      <c r="R30" s="120" t="s">
        <v>1011</v>
      </c>
      <c r="S30" s="121" t="str" cm="1">
        <f t="array" aca="1" ref="S30" ca="1">REFERENCIA.Unidade</f>
        <v>-</v>
      </c>
      <c r="T30" s="122">
        <f ca="1">OFFSET(CÁLCULO!H$15,ROW($T30)-ROW(T$15),0)</f>
        <v>0</v>
      </c>
      <c r="U30" s="123"/>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291740.62</v>
      </c>
      <c r="Y30" s="126" t="s">
        <v>751</v>
      </c>
      <c r="Z30" t="str">
        <f t="shared" ca="1" si="13"/>
        <v/>
      </c>
      <c r="AA30" s="127" cm="1">
        <f t="array" aca="1" ref="AA30" ca="1">IF($C30="S",IF($Z30="CP",$X30,IF($Z30="RA",(($X30)*QCI!$AA$3),0)),SomaAgrup)</f>
        <v>23797.648895134662</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f ca="1">IF(C30&lt;=CRONO.NivelExibicao,MAX($AD$15:OFFSET(AD30,-1,0))+IF($C30&lt;&gt;1,1,MAX(1,COUNTIF(QCI!$A$13:$A$24,OFFSET($E30,-1,0)))),"")</f>
        <v>5</v>
      </c>
      <c r="AE30" s="7" t="b" cm="1">
        <f t="array" aca="1" ref="AE30" ca="1">IF(AND($C30="S",ORÇAMENTO.CodBarra&lt;&gt;""),IF(ORÇAMENTO.Fonte="",ORÇAMENTO.CodBarra,CONCATENATE(ORÇAMENTO.Fonte," ",ORÇAMENTO.CodBarra)))</f>
        <v>0</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(Sem Código)</v>
      </c>
      <c r="AG30" s="428" cm="1">
        <f t="array" aca="1" ref="AG30" ca="1">ROUND(IF(DESONERACAO="sim",REFERENCIA.Desonerado,REFERENCIA.NaoDesonerado),2)</f>
        <v>0</v>
      </c>
      <c r="AH30" s="429">
        <f t="shared" ca="1" si="14"/>
        <v>0.24229999999999999</v>
      </c>
      <c r="AJ30" s="431"/>
      <c r="AL30" s="439"/>
      <c r="AM30" s="336">
        <f t="shared" ca="1" si="0"/>
        <v>291740.62</v>
      </c>
      <c r="AN30" s="470" cm="1">
        <f t="array" aca="1" ref="AN30" ca="1">ROUND(ORÇAMENTO.CustoUnitario*(1+$AH30),2)</f>
        <v>0</v>
      </c>
    </row>
    <row r="31" spans="1:40" ht="25.5" x14ac:dyDescent="0.2">
      <c r="A31" t="str">
        <f t="shared" si="1"/>
        <v>S</v>
      </c>
      <c r="B31">
        <f t="shared" ca="1" si="2"/>
        <v>2</v>
      </c>
      <c r="C31" t="str">
        <f t="shared" ca="1" si="3"/>
        <v>S</v>
      </c>
      <c r="D31">
        <f t="shared" ca="1" si="4"/>
        <v>0</v>
      </c>
      <c r="E31">
        <f ca="1">IF($C31=1,OFFSET(E31,-1,0)+MAX(1,COUNTIF(QCI!$A$13:$A$24,OFFSET(ORÇAMENTO!E31,-1,0))),OFFSET(E31,-1,0))</f>
        <v>1</v>
      </c>
      <c r="F31">
        <f t="shared" ca="1" si="5"/>
        <v>4</v>
      </c>
      <c r="G31">
        <f t="shared" ca="1" si="6"/>
        <v>0</v>
      </c>
      <c r="H31">
        <f t="shared" ca="1" si="7"/>
        <v>0</v>
      </c>
      <c r="I31">
        <f t="shared" ca="1" si="8"/>
        <v>1</v>
      </c>
      <c r="J31">
        <f t="shared" ca="1" si="9"/>
        <v>0</v>
      </c>
      <c r="K31">
        <f ca="1">IF(OR($C31="S",$C31=0),0,MATCH(OFFSET($D31,0,$C31)+IF($C31&lt;&gt;1,1,COUNTIF(QCI!$A$13:$A$24,ORÇAMENTO!E31)),OFFSET($D31,1,$C31,ROW($C$44)-ROW($C31)),0))</f>
        <v>0</v>
      </c>
      <c r="L31" s="114" t="str">
        <f t="shared" ca="1" si="10"/>
        <v>F</v>
      </c>
      <c r="M31" s="115" t="s">
        <v>705</v>
      </c>
      <c r="N31" s="116" t="str">
        <f t="shared" ca="1" si="11"/>
        <v>Serviço</v>
      </c>
      <c r="O31" s="117" t="str">
        <f t="shared" ca="1" si="12"/>
        <v>1.4.1.</v>
      </c>
      <c r="P31" s="118" t="s">
        <v>955</v>
      </c>
      <c r="Q31" s="119" t="s">
        <v>1012</v>
      </c>
      <c r="R31" s="120" t="str" cm="1">
        <f t="array" aca="1" ref="R31" ca="1">IF($C31="S",REFERENCIA.Descricao,"(digite a descrição aqui)")</f>
        <v>(Código não identificado nas referências)</v>
      </c>
      <c r="S31" s="121" t="s">
        <v>625</v>
      </c>
      <c r="T31" s="122">
        <f ca="1">OFFSET(CÁLCULO!H$15,ROW($T31)-ROW(T$15),0)</f>
        <v>463.2</v>
      </c>
      <c r="U31" s="123">
        <v>199.52</v>
      </c>
      <c r="V31" s="124" t="s">
        <v>663</v>
      </c>
      <c r="W31" s="122" cm="1">
        <f t="array" aca="1" ref="W31" ca="1">IF($C31="S",ROUND(IF(TIPOORCAMENTO="Proposto",ORÇAMENTO.CustoUnitario*(1+$AH31),ORÇAMENTO.PrecoUnitarioLicitado),15-13*$AF$10),0)</f>
        <v>247.86</v>
      </c>
      <c r="X31" s="125" cm="1">
        <f t="array" aca="1" ref="X31" ca="1">IF($C31="S",IF(OR(Import.TipoArredondamento&lt;&gt;"TransfereGOV",ACOMPANHAMENTO="BM"),VTOTAL1,SUM(OFFSET(CÁLCULO!$AA$15,ROW($X31)-ROW($X$15),1):OFFSET(CÁLCULO!$AL$15,ROW($X31)-ROW($X$15),-1))),IF($C31=0,0,ROUND(SomaAgrup,15-13*$AF$11)))</f>
        <v>114808.75</v>
      </c>
      <c r="Y31" s="126" t="s">
        <v>751</v>
      </c>
      <c r="Z31" t="str">
        <f t="shared" ca="1" si="13"/>
        <v>RA</v>
      </c>
      <c r="AA31" s="127" cm="1">
        <f t="array" aca="1" ref="AA31" ca="1">IF($C31="S",IF($Z31="CP",$X31,IF($Z31="RA",(($X31)*QCI!$AA$3),0)),SomaAgrup)</f>
        <v>9365.0939748784094</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SICRO 4011279</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4"/>
        <v>0.24229999999999999</v>
      </c>
      <c r="AJ31" s="431"/>
      <c r="AL31" s="439">
        <v>247.77</v>
      </c>
      <c r="AM31" s="336">
        <f t="shared" ca="1" si="0"/>
        <v>114808.75</v>
      </c>
      <c r="AN31" s="470" cm="1">
        <f t="array" aca="1" ref="AN31" ca="1">ROUND(ORÇAMENTO.CustoUnitario*(1+$AH31),2)</f>
        <v>247.86</v>
      </c>
    </row>
    <row r="32" spans="1:40" ht="25.5" x14ac:dyDescent="0.2">
      <c r="A32" t="str">
        <f t="shared" si="1"/>
        <v>S</v>
      </c>
      <c r="B32">
        <f t="shared" ca="1" si="2"/>
        <v>2</v>
      </c>
      <c r="C32" t="str">
        <f t="shared" ca="1" si="3"/>
        <v>S</v>
      </c>
      <c r="D32">
        <f t="shared" ca="1" si="4"/>
        <v>0</v>
      </c>
      <c r="E32">
        <f ca="1">IF($C32=1,OFFSET(E32,-1,0)+MAX(1,COUNTIF(QCI!$A$13:$A$24,OFFSET(ORÇAMENTO!E32,-1,0))),OFFSET(E32,-1,0))</f>
        <v>1</v>
      </c>
      <c r="F32">
        <f t="shared" ca="1" si="5"/>
        <v>4</v>
      </c>
      <c r="G32">
        <f t="shared" ca="1" si="6"/>
        <v>0</v>
      </c>
      <c r="H32">
        <f t="shared" ca="1" si="7"/>
        <v>0</v>
      </c>
      <c r="I32">
        <f t="shared" ca="1" si="8"/>
        <v>2</v>
      </c>
      <c r="J32">
        <f t="shared" ca="1" si="9"/>
        <v>0</v>
      </c>
      <c r="K32">
        <f ca="1">IF(OR($C32="S",$C32=0),0,MATCH(OFFSET($D32,0,$C32)+IF($C32&lt;&gt;1,1,COUNTIF(QCI!$A$13:$A$24,ORÇAMENTO!E32)),OFFSET($D32,1,$C32,ROW($C$44)-ROW($C32)),0))</f>
        <v>0</v>
      </c>
      <c r="L32" s="114" t="str">
        <f t="shared" ca="1" si="10"/>
        <v>F</v>
      </c>
      <c r="M32" s="115" t="s">
        <v>705</v>
      </c>
      <c r="N32" s="116" t="str">
        <f t="shared" ca="1" si="11"/>
        <v>Serviço</v>
      </c>
      <c r="O32" s="117" t="str">
        <f t="shared" ca="1" si="12"/>
        <v>1.4.2.</v>
      </c>
      <c r="P32" s="118" t="s">
        <v>955</v>
      </c>
      <c r="Q32" s="119" t="s">
        <v>1013</v>
      </c>
      <c r="R32" s="120" t="str" cm="1">
        <f t="array" aca="1" ref="R32" ca="1">IF($C32="S",REFERENCIA.Descricao,"(digite a descrição aqui)")</f>
        <v>(Código não identificado nas referências)</v>
      </c>
      <c r="S32" s="121" t="s">
        <v>625</v>
      </c>
      <c r="T32" s="122">
        <f ca="1">OFFSET(CÁLCULO!H$15,ROW($T32)-ROW(T$15),0)</f>
        <v>218.1</v>
      </c>
      <c r="U32" s="123">
        <v>240.05</v>
      </c>
      <c r="V32" s="124" t="s">
        <v>663</v>
      </c>
      <c r="W32" s="122" cm="1">
        <f t="array" aca="1" ref="W32" ca="1">IF($C32="S",ROUND(IF(TIPOORCAMENTO="Proposto",ORÇAMENTO.CustoUnitario*(1+$AH32),ORÇAMENTO.PrecoUnitarioLicitado),15-13*$AF$10),0)</f>
        <v>298.20999999999998</v>
      </c>
      <c r="X32" s="125" cm="1">
        <f t="array" aca="1" ref="X32" ca="1">IF($C32="S",IF(OR(Import.TipoArredondamento&lt;&gt;"TransfereGOV",ACOMPANHAMENTO="BM"),VTOTAL1,SUM(OFFSET(CÁLCULO!$AA$15,ROW($X32)-ROW($X$15),1):OFFSET(CÁLCULO!$AL$15,ROW($X32)-ROW($X$15),-1))),IF($C32=0,0,ROUND(SomaAgrup,15-13*$AF$11)))</f>
        <v>65039.6</v>
      </c>
      <c r="Y32" s="126" t="s">
        <v>751</v>
      </c>
      <c r="Z32" t="str">
        <f t="shared" ca="1" si="13"/>
        <v>RA</v>
      </c>
      <c r="AA32" s="127" cm="1">
        <f t="array" aca="1" ref="AA32" ca="1">IF($C32="S",IF($Z32="CP",$X32,IF($Z32="RA",(($X32)*QCI!$AA$3),0)),SomaAgrup)</f>
        <v>5305.3618830315791</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SICRO 4011276</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4"/>
        <v>0.24229999999999999</v>
      </c>
      <c r="AJ32" s="431"/>
      <c r="AL32" s="439">
        <v>288.66000000000003</v>
      </c>
      <c r="AM32" s="336">
        <f t="shared" ca="1" si="0"/>
        <v>65039.6</v>
      </c>
      <c r="AN32" s="470" cm="1">
        <f t="array" aca="1" ref="AN32" ca="1">ROUND(ORÇAMENTO.CustoUnitario*(1+$AH32),2)</f>
        <v>298.20999999999998</v>
      </c>
    </row>
    <row r="33" spans="1:40" x14ac:dyDescent="0.2">
      <c r="A33" t="str">
        <f t="shared" si="1"/>
        <v>S</v>
      </c>
      <c r="B33">
        <f t="shared" ca="1" si="2"/>
        <v>2</v>
      </c>
      <c r="C33" t="str">
        <f t="shared" ca="1" si="3"/>
        <v>S</v>
      </c>
      <c r="D33">
        <f t="shared" ca="1" si="4"/>
        <v>0</v>
      </c>
      <c r="E33">
        <f ca="1">IF($C33=1,OFFSET(E33,-1,0)+MAX(1,COUNTIF(QCI!$A$13:$A$24,OFFSET(ORÇAMENTO!E33,-1,0))),OFFSET(E33,-1,0))</f>
        <v>1</v>
      </c>
      <c r="F33">
        <f t="shared" ca="1" si="5"/>
        <v>4</v>
      </c>
      <c r="G33">
        <f t="shared" ca="1" si="6"/>
        <v>0</v>
      </c>
      <c r="H33">
        <f t="shared" ca="1" si="7"/>
        <v>0</v>
      </c>
      <c r="I33">
        <f t="shared" ca="1" si="8"/>
        <v>3</v>
      </c>
      <c r="J33">
        <f t="shared" ca="1" si="9"/>
        <v>0</v>
      </c>
      <c r="K33">
        <f ca="1">IF(OR($C33="S",$C33=0),0,MATCH(OFFSET($D33,0,$C33)+IF($C33&lt;&gt;1,1,COUNTIF(QCI!$A$13:$A$24,ORÇAMENTO!E33)),OFFSET($D33,1,$C33,ROW($C$44)-ROW($C33)),0))</f>
        <v>0</v>
      </c>
      <c r="L33" s="114" t="str">
        <f t="shared" ca="1" si="10"/>
        <v>F</v>
      </c>
      <c r="M33" s="115" t="s">
        <v>705</v>
      </c>
      <c r="N33" s="116" t="str">
        <f t="shared" ca="1" si="11"/>
        <v>Serviço</v>
      </c>
      <c r="O33" s="117" t="str">
        <f t="shared" ca="1" si="12"/>
        <v>1.4.3.</v>
      </c>
      <c r="P33" s="118" t="s">
        <v>955</v>
      </c>
      <c r="Q33" s="119" t="s">
        <v>1014</v>
      </c>
      <c r="R33" s="120" t="str" cm="1">
        <f t="array" aca="1" ref="R33" ca="1">IF($C33="S",REFERENCIA.Descricao,"(digite a descrição aqui)")</f>
        <v>(Código não identificado nas referências)</v>
      </c>
      <c r="S33" s="121" t="s">
        <v>623</v>
      </c>
      <c r="T33" s="122">
        <f ca="1">OFFSET(CÁLCULO!H$15,ROW($T33)-ROW(T$15),0)</f>
        <v>1424</v>
      </c>
      <c r="U33" s="123">
        <v>0.6</v>
      </c>
      <c r="V33" s="124" t="s">
        <v>663</v>
      </c>
      <c r="W33" s="122" cm="1">
        <f t="array" aca="1" ref="W33" ca="1">IF($C33="S",ROUND(IF(TIPOORCAMENTO="Proposto",ORÇAMENTO.CustoUnitario*(1+$AH33),ORÇAMENTO.PrecoUnitarioLicitado),15-13*$AF$10),0)</f>
        <v>0.75</v>
      </c>
      <c r="X33" s="125" cm="1">
        <f t="array" aca="1" ref="X33" ca="1">IF($C33="S",IF(OR(Import.TipoArredondamento&lt;&gt;"TransfereGOV",ACOMPANHAMENTO="BM"),VTOTAL1,SUM(OFFSET(CÁLCULO!$AA$15,ROW($X33)-ROW($X$15),1):OFFSET(CÁLCULO!$AL$15,ROW($X33)-ROW($X$15),-1))),IF($C33=0,0,ROUND(SomaAgrup,15-13*$AF$11)))</f>
        <v>1068</v>
      </c>
      <c r="Y33" s="126" t="s">
        <v>751</v>
      </c>
      <c r="Z33" t="str">
        <f t="shared" ca="1" si="13"/>
        <v>RA</v>
      </c>
      <c r="AA33" s="127" cm="1">
        <f t="array" aca="1" ref="AA33" ca="1">IF($C33="S",IF($Z33="CP",$X33,IF($Z33="RA",(($X33)*QCI!$AA$3),0)),SomaAgrup)</f>
        <v>87.118101757663425</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CÓDIGO N/ID</v>
      </c>
      <c r="AD33" t="str">
        <f ca="1">IF(C33&lt;=CRONO.NivelExibicao,MAX($AD$15:OFFSET(AD33,-1,0))+IF($C33&lt;&gt;1,1,MAX(1,COUNTIF(QCI!$A$13:$A$24,OFFSET($E33,-1,0)))),"")</f>
        <v/>
      </c>
      <c r="AE33" s="7" t="str" cm="1">
        <f t="array" aca="1" ref="AE33" ca="1">IF(AND($C33="S",ORÇAMENTO.CodBarra&lt;&gt;""),IF(ORÇAMENTO.Fonte="",ORÇAMENTO.CodBarra,CONCATENATE(ORÇAMENTO.Fonte," ",ORÇAMENTO.CodBarra)))</f>
        <v>SICRO 4011352</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4"/>
        <v>0.24229999999999999</v>
      </c>
      <c r="AJ33" s="431"/>
      <c r="AL33" s="439">
        <v>0.5</v>
      </c>
      <c r="AM33" s="336">
        <f t="shared" ca="1" si="0"/>
        <v>1068</v>
      </c>
      <c r="AN33" s="470" cm="1">
        <f t="array" aca="1" ref="AN33" ca="1">ROUND(ORÇAMENTO.CustoUnitario*(1+$AH33),2)</f>
        <v>0.75</v>
      </c>
    </row>
    <row r="34" spans="1:40" x14ac:dyDescent="0.2">
      <c r="A34" t="str">
        <f t="shared" si="1"/>
        <v>S</v>
      </c>
      <c r="B34">
        <f t="shared" ca="1" si="2"/>
        <v>2</v>
      </c>
      <c r="C34" t="str">
        <f t="shared" ca="1" si="3"/>
        <v>S</v>
      </c>
      <c r="D34">
        <f t="shared" ca="1" si="4"/>
        <v>0</v>
      </c>
      <c r="E34">
        <f ca="1">IF($C34=1,OFFSET(E34,-1,0)+MAX(1,COUNTIF(QCI!$A$13:$A$24,OFFSET(ORÇAMENTO!E34,-1,0))),OFFSET(E34,-1,0))</f>
        <v>1</v>
      </c>
      <c r="F34">
        <f t="shared" ca="1" si="5"/>
        <v>4</v>
      </c>
      <c r="G34">
        <f t="shared" ca="1" si="6"/>
        <v>0</v>
      </c>
      <c r="H34">
        <f t="shared" ca="1" si="7"/>
        <v>0</v>
      </c>
      <c r="I34">
        <f t="shared" ca="1" si="8"/>
        <v>4</v>
      </c>
      <c r="J34">
        <f t="shared" ca="1" si="9"/>
        <v>0</v>
      </c>
      <c r="K34">
        <f ca="1">IF(OR($C34="S",$C34=0),0,MATCH(OFFSET($D34,0,$C34)+IF($C34&lt;&gt;1,1,COUNTIF(QCI!$A$13:$A$24,ORÇAMENTO!E34)),OFFSET($D34,1,$C34,ROW($C$44)-ROW($C34)),0))</f>
        <v>0</v>
      </c>
      <c r="L34" s="114" t="str">
        <f t="shared" ca="1" si="10"/>
        <v>F</v>
      </c>
      <c r="M34" s="115" t="s">
        <v>705</v>
      </c>
      <c r="N34" s="116" t="str">
        <f t="shared" ca="1" si="11"/>
        <v>Serviço</v>
      </c>
      <c r="O34" s="117" t="str">
        <f t="shared" ca="1" si="12"/>
        <v>1.4.4.</v>
      </c>
      <c r="P34" s="118" t="s">
        <v>955</v>
      </c>
      <c r="Q34" s="119" t="s">
        <v>1015</v>
      </c>
      <c r="R34" s="120" t="str" cm="1">
        <f t="array" aca="1" ref="R34" ca="1">IF($C34="S",REFERENCIA.Descricao,"(digite a descrição aqui)")</f>
        <v>(Código não identificado nas referências)</v>
      </c>
      <c r="S34" s="121" t="s">
        <v>623</v>
      </c>
      <c r="T34" s="122">
        <f ca="1">OFFSET(CÁLCULO!H$15,ROW($T34)-ROW(T$15),0)</f>
        <v>1424</v>
      </c>
      <c r="U34" s="123">
        <v>0.42</v>
      </c>
      <c r="V34" s="124" t="s">
        <v>663</v>
      </c>
      <c r="W34" s="122" cm="1">
        <f t="array" aca="1" ref="W34" ca="1">IF($C34="S",ROUND(IF(TIPOORCAMENTO="Proposto",ORÇAMENTO.CustoUnitario*(1+$AH34),ORÇAMENTO.PrecoUnitarioLicitado),15-13*$AF$10),0)</f>
        <v>0.52</v>
      </c>
      <c r="X34" s="125" cm="1">
        <f t="array" aca="1" ref="X34" ca="1">IF($C34="S",IF(OR(Import.TipoArredondamento&lt;&gt;"TransfereGOV",ACOMPANHAMENTO="BM"),VTOTAL1,SUM(OFFSET(CÁLCULO!$AA$15,ROW($X34)-ROW($X$15),1):OFFSET(CÁLCULO!$AL$15,ROW($X34)-ROW($X$15),-1))),IF($C34=0,0,ROUND(SomaAgrup,15-13*$AF$11)))</f>
        <v>740.48</v>
      </c>
      <c r="Y34" s="126" t="s">
        <v>751</v>
      </c>
      <c r="Z34" t="str">
        <f t="shared" ca="1" si="13"/>
        <v>RA</v>
      </c>
      <c r="AA34" s="127" cm="1">
        <f t="array" aca="1" ref="AA34" ca="1">IF($C34="S",IF($Z34="CP",$X34,IF($Z34="RA",(($X34)*QCI!$AA$3),0)),SomaAgrup)</f>
        <v>60.40188388531331</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SICRO 4011353</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4"/>
        <v>0.24229999999999999</v>
      </c>
      <c r="AJ34" s="431"/>
      <c r="AL34" s="439">
        <v>0.36</v>
      </c>
      <c r="AM34" s="336">
        <f t="shared" ca="1" si="0"/>
        <v>740.48</v>
      </c>
      <c r="AN34" s="470" cm="1">
        <f t="array" aca="1" ref="AN34" ca="1">ROUND(ORÇAMENTO.CustoUnitario*(1+$AH34),2)</f>
        <v>0.52</v>
      </c>
    </row>
    <row r="35" spans="1:40" x14ac:dyDescent="0.2">
      <c r="A35" t="str">
        <f t="shared" si="1"/>
        <v>S</v>
      </c>
      <c r="B35">
        <f t="shared" ca="1" si="2"/>
        <v>2</v>
      </c>
      <c r="C35" t="str">
        <f t="shared" ca="1" si="3"/>
        <v>S</v>
      </c>
      <c r="D35">
        <f t="shared" ca="1" si="4"/>
        <v>0</v>
      </c>
      <c r="E35">
        <f ca="1">IF($C35=1,OFFSET(E35,-1,0)+MAX(1,COUNTIF(QCI!$A$13:$A$24,OFFSET(ORÇAMENTO!E35,-1,0))),OFFSET(E35,-1,0))</f>
        <v>1</v>
      </c>
      <c r="F35">
        <f t="shared" ca="1" si="5"/>
        <v>4</v>
      </c>
      <c r="G35">
        <f t="shared" ca="1" si="6"/>
        <v>0</v>
      </c>
      <c r="H35">
        <f t="shared" ca="1" si="7"/>
        <v>0</v>
      </c>
      <c r="I35">
        <f t="shared" ca="1" si="8"/>
        <v>5</v>
      </c>
      <c r="J35">
        <f t="shared" ca="1" si="9"/>
        <v>0</v>
      </c>
      <c r="K35">
        <f ca="1">IF(OR($C35="S",$C35=0),0,MATCH(OFFSET($D35,0,$C35)+IF($C35&lt;&gt;1,1,COUNTIF(QCI!$A$13:$A$24,ORÇAMENTO!E35)),OFFSET($D35,1,$C35,ROW($C$44)-ROW($C35)),0))</f>
        <v>0</v>
      </c>
      <c r="L35" s="114" t="str">
        <f t="shared" ca="1" si="10"/>
        <v>F</v>
      </c>
      <c r="M35" s="115" t="s">
        <v>705</v>
      </c>
      <c r="N35" s="116" t="str">
        <f t="shared" ca="1" si="11"/>
        <v>Serviço</v>
      </c>
      <c r="O35" s="117" t="str">
        <f t="shared" ca="1" si="12"/>
        <v>1.4.5.</v>
      </c>
      <c r="P35" s="118" t="s">
        <v>955</v>
      </c>
      <c r="Q35" s="119" t="s">
        <v>1016</v>
      </c>
      <c r="R35" s="120" t="str" cm="1">
        <f t="array" aca="1" ref="R35" ca="1">IF($C35="S",REFERENCIA.Descricao,"(digite a descrição aqui)")</f>
        <v>(Código não identificado nas referências)</v>
      </c>
      <c r="S35" s="121" t="s">
        <v>636</v>
      </c>
      <c r="T35" s="122">
        <f ca="1">OFFSET(CÁLCULO!H$15,ROW($T35)-ROW(T$15),0)</f>
        <v>216.44</v>
      </c>
      <c r="U35" s="123">
        <v>191.74</v>
      </c>
      <c r="V35" s="124" t="s">
        <v>663</v>
      </c>
      <c r="W35" s="122" cm="1">
        <f t="array" aca="1" ref="W35" ca="1">IF($C35="S",ROUND(IF(TIPOORCAMENTO="Proposto",ORÇAMENTO.CustoUnitario*(1+$AH35),ORÇAMENTO.PrecoUnitarioLicitado),15-13*$AF$10),0)</f>
        <v>238.2</v>
      </c>
      <c r="X35" s="125" cm="1">
        <f t="array" aca="1" ref="X35" ca="1">IF($C35="S",IF(OR(Import.TipoArredondamento&lt;&gt;"TransfereGOV",ACOMPANHAMENTO="BM"),VTOTAL1,SUM(OFFSET(CÁLCULO!$AA$15,ROW($X35)-ROW($X$15),1):OFFSET(CÁLCULO!$AL$15,ROW($X35)-ROW($X$15),-1))),IF($C35=0,0,ROUND(SomaAgrup,15-13*$AF$11)))</f>
        <v>51556.01</v>
      </c>
      <c r="Y35" s="126" t="s">
        <v>751</v>
      </c>
      <c r="Z35" t="str">
        <f t="shared" ca="1" si="13"/>
        <v>RA</v>
      </c>
      <c r="AA35" s="127" cm="1">
        <f t="array" aca="1" ref="AA35" ca="1">IF($C35="S",IF($Z35="CP",$X35,IF($Z35="RA",(($X35)*QCI!$AA$3),0)),SomaAgrup)</f>
        <v>4205.488506928009</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IF(C35&lt;=CRONO.NivelExibicao,MAX($AD$15:OFFSET(AD35,-1,0))+IF($C35&lt;&gt;1,1,MAX(1,COUNTIF(QCI!$A$13:$A$24,OFFSET($E35,-1,0)))),"")</f>
        <v/>
      </c>
      <c r="AE35" s="7" t="str" cm="1">
        <f t="array" aca="1" ref="AE35" ca="1">IF(AND($C35="S",ORÇAMENTO.CodBarra&lt;&gt;""),IF(ORÇAMENTO.Fonte="",ORÇAMENTO.CodBarra,CONCATENATE(ORÇAMENTO.Fonte," ",ORÇAMENTO.CodBarra)))</f>
        <v>SICRO 4011463</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4"/>
        <v>0.24229999999999999</v>
      </c>
      <c r="AJ35" s="431"/>
      <c r="AL35" s="439">
        <v>214.1</v>
      </c>
      <c r="AM35" s="336">
        <f t="shared" ca="1" si="0"/>
        <v>51556.01</v>
      </c>
      <c r="AN35" s="470" cm="1">
        <f t="array" aca="1" ref="AN35" ca="1">ROUND(ORÇAMENTO.CustoUnitario*(1+$AH35),2)</f>
        <v>238.2</v>
      </c>
    </row>
    <row r="36" spans="1:40" x14ac:dyDescent="0.2">
      <c r="A36" t="str">
        <f>CHOOSE(1+LOG(1+2*(ORÇAMENTO.Nivel="Meta")+4*(ORÇAMENTO.Nivel="Nível 2")+8*(ORÇAMENTO.Nivel="Nível 3")+16*(ORÇAMENTO.Nivel="Nível 4")+32*(ORÇAMENTO.Nivel="Serviço"),2),0,1,2,3,4,"S")</f>
        <v>S</v>
      </c>
      <c r="B36">
        <f ca="1">IF(OR(C36="s",C36=0),OFFSET(B36,-1,0),C36)</f>
        <v>2</v>
      </c>
      <c r="C36" t="str">
        <f ca="1">IF(OFFSET(C36,-1,0)="L",1,IF(OFFSET(C36,-1,0)=1,2,IF(OR(A36="s",A36=0),"S",IF(AND(OFFSET(C36,-1,0)=2,A36=4),3,IF(AND(OR(OFFSET(C36,-1,0)="s",OFFSET(C36,-1,0)=0),A36&lt;&gt;"s",A36&gt;OFFSET(B36,-1,0)),OFFSET(B36,-1,0),A36)))))</f>
        <v>S</v>
      </c>
      <c r="D36">
        <f ca="1">IF(OR(C36="S",C36=0),0,IF(ISERROR(K36),J36,SMALL(J36:K36,1)))</f>
        <v>0</v>
      </c>
      <c r="E36">
        <f ca="1">IF($C36=1,OFFSET(E36,-1,0)+MAX(1,COUNTIF(QCI!$A$13:$A$24,OFFSET(ORÇAMENTO!E36,-1,0))),OFFSET(E36,-1,0))</f>
        <v>1</v>
      </c>
      <c r="F36">
        <f ca="1">IF($C36=1,0,IF($C36=2,OFFSET(F36,-1,0)+1,OFFSET(F36,-1,0)))</f>
        <v>4</v>
      </c>
      <c r="G36">
        <f ca="1">IF(AND($C36&lt;=2,$C36&lt;&gt;0),0,IF($C36=3,OFFSET(G36,-1,0)+1,OFFSET(G36,-1,0)))</f>
        <v>0</v>
      </c>
      <c r="H36">
        <f ca="1">IF(AND($C36&lt;=3,$C36&lt;&gt;0),0,IF($C36=4,OFFSET(H36,-1,0)+1,OFFSET(H36,-1,0)))</f>
        <v>0</v>
      </c>
      <c r="I36">
        <f ca="1">IF(AND($C36&lt;=4,$C36&lt;&gt;0),0,IF(AND($C36="S",$X36&gt;0),OFFSET(I36,-1,0)+1,OFFSET(I36,-1,0)))</f>
        <v>6</v>
      </c>
      <c r="J36">
        <f t="shared" ca="1" si="9"/>
        <v>0</v>
      </c>
      <c r="K36">
        <f ca="1">IF(OR($C36="S",$C36=0),0,MATCH(OFFSET($D36,0,$C36)+IF($C36&lt;&gt;1,1,COUNTIF(QCI!$A$13:$A$24,ORÇAMENTO!E36)),OFFSET($D36,1,$C36,ROW($C$44)-ROW($C36)),0))</f>
        <v>0</v>
      </c>
      <c r="L36" s="114" t="str">
        <f ca="1">IF(OR($X36&gt;0,$C36=1,$C36=2,$C36=3,$C36=4),"F","")</f>
        <v>F</v>
      </c>
      <c r="M36" s="115" t="s">
        <v>705</v>
      </c>
      <c r="N36" s="116" t="str">
        <f ca="1">CHOOSE(1+LOG(1+2*(C36=1)+4*(C36=2)+8*(C36=3)+16*(C36=4)+32*(C36="S"),2),"","Meta","Nível 2","Nível 3","Nível 4","Serviço")</f>
        <v>Serviço</v>
      </c>
      <c r="O36" s="117" t="str">
        <f ca="1">IF(OR($C36=0,$L36=""),"-",CONCATENATE(E36&amp;".",IF(AND($A$5&gt;=2,$C36&gt;=2),F36&amp;".",""),IF(AND($A$5&gt;=3,$C36&gt;=3),G36&amp;".",""),IF(AND($A$5&gt;=4,$C36&gt;=4),H36&amp;".",""),IF($C36="S",I36&amp;".","")))</f>
        <v>1.4.6.</v>
      </c>
      <c r="P36" s="118" t="s">
        <v>955</v>
      </c>
      <c r="Q36" s="119" t="s">
        <v>1018</v>
      </c>
      <c r="R36" s="120" t="str" cm="1">
        <f t="array" aca="1" ref="R36" ca="1">IF($C36="S",REFERENCIA.Descricao,"(digite a descrição aqui)")</f>
        <v>(Código não identificado nas referências)</v>
      </c>
      <c r="S36" s="121" t="s">
        <v>638</v>
      </c>
      <c r="T36" s="122">
        <f ca="1">OFFSET(CÁLCULO!H$15,ROW($T36)-ROW(T$15),0)</f>
        <v>57380.18</v>
      </c>
      <c r="U36" s="123">
        <v>0.82</v>
      </c>
      <c r="V36" s="124" t="s">
        <v>663</v>
      </c>
      <c r="W36" s="122" cm="1">
        <f t="array" aca="1" ref="W36" ca="1">IF($C36="S",ROUND(IF(TIPOORCAMENTO="Proposto",ORÇAMENTO.CustoUnitario*(1+$AH36),ORÇAMENTO.PrecoUnitarioLicitado),15-13*$AF$10),0)</f>
        <v>1.02</v>
      </c>
      <c r="X36" s="125" cm="1">
        <f t="array" aca="1" ref="X36" ca="1">IF($C36="S",IF(OR(Import.TipoArredondamento&lt;&gt;"TransfereGOV",ACOMPANHAMENTO="BM"),VTOTAL1,SUM(OFFSET(CÁLCULO!$AA$15,ROW($X36)-ROW($X$15),1):OFFSET(CÁLCULO!$AL$15,ROW($X36)-ROW($X$15),-1))),IF($C36=0,0,ROUND(SomaAgrup,15-13*$AF$11)))</f>
        <v>58527.78</v>
      </c>
      <c r="Y36" s="126" t="s">
        <v>751</v>
      </c>
      <c r="Z36" t="str">
        <f ca="1">IF(AND($C36="S",$X36&gt;0),IF(ISBLANK($Y36),"RA",LEFT($Y36,2)),"")</f>
        <v>RA</v>
      </c>
      <c r="AA36" s="127" cm="1">
        <f t="array" aca="1" ref="AA36" ca="1">IF($C36="S",IF($Z36="CP",$X36,IF($Z36="RA",(($X36)*QCI!$AA$3),0)),SomaAgrup)</f>
        <v>4774.1845446536872</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IF(C36&lt;=CRONO.NivelExibicao,MAX($AD$15:OFFSET(AD36,-1,0))+IF($C36&lt;&gt;1,1,MAX(1,COUNTIF(QCI!$A$13:$A$24,OFFSET($E36,-1,0)))),"")</f>
        <v/>
      </c>
      <c r="AE36" s="7" t="str" cm="1">
        <f t="array" aca="1" ref="AE36" ca="1">IF(AND($C36="S",ORÇAMENTO.CodBarra&lt;&gt;""),IF(ORÇAMENTO.Fonte="",ORÇAMENTO.CodBarra,CONCATENATE(ORÇAMENTO.Fonte," ",ORÇAMENTO.CodBarra)))</f>
        <v>SICRO 5914389</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ca="1">ROUND(IF(ISNUMBER(ORÇAMENTO.OpcaoBDI),ORÇAMENTO.OpcaoBDI,IF(LEFT(ORÇAMENTO.OpcaoBDI,3)="BDI",HLOOKUP(ORÇAMENTO.OpcaoBDI,$F$4:$H$5,2,FALSE),0)),15-11*$AF$9)</f>
        <v>0.24229999999999999</v>
      </c>
      <c r="AJ36" s="431"/>
      <c r="AL36" s="439"/>
      <c r="AM36" s="336">
        <f t="shared" ca="1" si="0"/>
        <v>58527.78</v>
      </c>
      <c r="AN36" s="470" cm="1">
        <f t="array" aca="1" ref="AN36" ca="1">ROUND(ORÇAMENTO.CustoUnitario*(1+$AH36),2)</f>
        <v>1.02</v>
      </c>
    </row>
    <row r="37" spans="1:40" x14ac:dyDescent="0.2">
      <c r="A37">
        <f t="shared" si="1"/>
        <v>2</v>
      </c>
      <c r="B37">
        <f t="shared" ca="1" si="2"/>
        <v>2</v>
      </c>
      <c r="C37">
        <f t="shared" ca="1" si="3"/>
        <v>2</v>
      </c>
      <c r="D37">
        <f t="shared" ca="1" si="4"/>
        <v>5</v>
      </c>
      <c r="E37">
        <f ca="1">IF($C37=1,OFFSET(E37,-1,0)+MAX(1,COUNTIF(QCI!$A$13:$A$24,OFFSET(ORÇAMENTO!E37,-1,0))),OFFSET(E37,-1,0))</f>
        <v>1</v>
      </c>
      <c r="F37">
        <f t="shared" ca="1" si="5"/>
        <v>5</v>
      </c>
      <c r="G37">
        <f t="shared" ca="1" si="6"/>
        <v>0</v>
      </c>
      <c r="H37">
        <f t="shared" ca="1" si="7"/>
        <v>0</v>
      </c>
      <c r="I37">
        <f t="shared" ca="1" si="8"/>
        <v>0</v>
      </c>
      <c r="J37">
        <f t="shared" ca="1" si="9"/>
        <v>7</v>
      </c>
      <c r="K37">
        <f ca="1">IF(OR($C37="S",$C37=0),0,MATCH(OFFSET($D37,0,$C37)+IF($C37&lt;&gt;1,1,COUNTIF(QCI!$A$13:$A$24,ORÇAMENTO!E37)),OFFSET($D37,1,$C37,ROW($C$44)-ROW($C37)),0))</f>
        <v>5</v>
      </c>
      <c r="L37" s="114" t="str">
        <f t="shared" ca="1" si="10"/>
        <v>F</v>
      </c>
      <c r="M37" s="115" t="s">
        <v>702</v>
      </c>
      <c r="N37" s="116" t="str">
        <f t="shared" ca="1" si="11"/>
        <v>Nível 2</v>
      </c>
      <c r="O37" s="117" t="str">
        <f t="shared" ca="1" si="12"/>
        <v>1.5.</v>
      </c>
      <c r="P37" s="118" t="s">
        <v>957</v>
      </c>
      <c r="Q37" s="119"/>
      <c r="R37" s="120" t="s">
        <v>1017</v>
      </c>
      <c r="S37" s="121" t="str" cm="1">
        <f t="array" aca="1" ref="S37" ca="1">REFERENCIA.Unidade</f>
        <v>-</v>
      </c>
      <c r="T37" s="122">
        <f ca="1">OFFSET(CÁLCULO!H$15,ROW($T37)-ROW(T$15),0)</f>
        <v>0</v>
      </c>
      <c r="U37" s="123"/>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93104.78</v>
      </c>
      <c r="Y37" s="126" t="s">
        <v>751</v>
      </c>
      <c r="Z37" t="str">
        <f t="shared" ca="1" si="13"/>
        <v/>
      </c>
      <c r="AA37" s="127" cm="1">
        <f t="array" aca="1" ref="AA37" ca="1">IF($C37="S",IF($Z37="CP",$X37,IF($Z37="RA",(($X37)*QCI!$AA$3),0)),SomaAgrup)</f>
        <v>7594.6738746862047</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f ca="1">IF(C37&lt;=CRONO.NivelExibicao,MAX($AD$15:OFFSET(AD37,-1,0))+IF($C37&lt;&gt;1,1,MAX(1,COUNTIF(QCI!$A$13:$A$24,OFFSET($E37,-1,0)))),"")</f>
        <v>6</v>
      </c>
      <c r="AE37" s="7" t="b" cm="1">
        <f t="array" aca="1" ref="AE37" ca="1">IF(AND($C37="S",ORÇAMENTO.CodBarra&lt;&gt;""),IF(ORÇAMENTO.Fonte="",ORÇAMENTO.CodBarra,CONCATENATE(ORÇAMENTO.Fonte," ",ORÇAMENTO.CodBarra)))</f>
        <v>0</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(Sem Código)</v>
      </c>
      <c r="AG37" s="428" cm="1">
        <f t="array" aca="1" ref="AG37" ca="1">ROUND(IF(DESONERACAO="sim",REFERENCIA.Desonerado,REFERENCIA.NaoDesonerado),2)</f>
        <v>0</v>
      </c>
      <c r="AH37" s="429">
        <f t="shared" ca="1" si="14"/>
        <v>0.24229999999999999</v>
      </c>
      <c r="AJ37" s="431"/>
      <c r="AL37" s="439"/>
      <c r="AM37" s="336">
        <f t="shared" ca="1" si="0"/>
        <v>93104.78</v>
      </c>
      <c r="AN37" s="470" cm="1">
        <f t="array" aca="1" ref="AN37" ca="1">ROUND(ORÇAMENTO.CustoUnitario*(1+$AH37),2)</f>
        <v>0</v>
      </c>
    </row>
    <row r="38" spans="1:40" ht="25.5" x14ac:dyDescent="0.2">
      <c r="A38" t="str">
        <f t="shared" si="1"/>
        <v>S</v>
      </c>
      <c r="B38">
        <f t="shared" ca="1" si="2"/>
        <v>2</v>
      </c>
      <c r="C38" t="str">
        <f t="shared" ca="1" si="3"/>
        <v>S</v>
      </c>
      <c r="D38">
        <f t="shared" ca="1" si="4"/>
        <v>0</v>
      </c>
      <c r="E38">
        <f ca="1">IF($C38=1,OFFSET(E38,-1,0)+MAX(1,COUNTIF(QCI!$A$13:$A$24,OFFSET(ORÇAMENTO!E38,-1,0))),OFFSET(E38,-1,0))</f>
        <v>1</v>
      </c>
      <c r="F38">
        <f t="shared" ca="1" si="5"/>
        <v>5</v>
      </c>
      <c r="G38">
        <f t="shared" ca="1" si="6"/>
        <v>0</v>
      </c>
      <c r="H38">
        <f t="shared" ca="1" si="7"/>
        <v>0</v>
      </c>
      <c r="I38">
        <f t="shared" ca="1" si="8"/>
        <v>1</v>
      </c>
      <c r="J38">
        <f t="shared" ca="1" si="9"/>
        <v>0</v>
      </c>
      <c r="K38">
        <f ca="1">IF(OR($C38="S",$C38=0),0,MATCH(OFFSET($D38,0,$C38)+IF($C38&lt;&gt;1,1,COUNTIF(QCI!$A$13:$A$24,ORÇAMENTO!E38)),OFFSET($D38,1,$C38,ROW($C$44)-ROW($C38)),0))</f>
        <v>0</v>
      </c>
      <c r="L38" s="114" t="str">
        <f t="shared" ca="1" si="10"/>
        <v>F</v>
      </c>
      <c r="M38" s="115" t="s">
        <v>705</v>
      </c>
      <c r="N38" s="116" t="str">
        <f t="shared" ca="1" si="11"/>
        <v>Serviço</v>
      </c>
      <c r="O38" s="117" t="str">
        <f t="shared" ca="1" si="12"/>
        <v>1.5.1.</v>
      </c>
      <c r="P38" s="118" t="s">
        <v>957</v>
      </c>
      <c r="Q38" s="119" t="s">
        <v>1041</v>
      </c>
      <c r="R38" s="120" t="str" cm="1">
        <f t="array" aca="1" ref="R38" ca="1">IF($C38="S",REFERENCIA.Descricao,"(digite a descrição aqui)")</f>
        <v>(Código não identificado nas referências)</v>
      </c>
      <c r="S38" s="121" t="str" cm="1">
        <f t="array" aca="1" ref="S38" ca="1">REFERENCIA.Unidade</f>
        <v>-</v>
      </c>
      <c r="T38" s="122">
        <f ca="1">OFFSET(CÁLCULO!H$15,ROW($T38)-ROW(T$15),0)</f>
        <v>1.71</v>
      </c>
      <c r="U38" s="123">
        <v>4292</v>
      </c>
      <c r="V38" s="124" t="s">
        <v>697</v>
      </c>
      <c r="W38" s="122" cm="1">
        <f t="array" aca="1" ref="W38" ca="1">IF($C38="S",ROUND(IF(TIPOORCAMENTO="Proposto",ORÇAMENTO.CustoUnitario*(1+$AH38),ORÇAMENTO.PrecoUnitarioLicitado),15-13*$AF$10),0)</f>
        <v>4935.8</v>
      </c>
      <c r="X38" s="125" cm="1">
        <f t="array" aca="1" ref="X38" ca="1">IF($C38="S",IF(OR(Import.TipoArredondamento&lt;&gt;"TransfereGOV",ACOMPANHAMENTO="BM"),VTOTAL1,SUM(OFFSET(CÁLCULO!$AA$15,ROW($X38)-ROW($X$15),1):OFFSET(CÁLCULO!$AL$15,ROW($X38)-ROW($X$15),-1))),IF($C38=0,0,ROUND(SomaAgrup,15-13*$AF$11)))</f>
        <v>8440.2199999999993</v>
      </c>
      <c r="Y38" s="126" t="s">
        <v>751</v>
      </c>
      <c r="Z38" t="str">
        <f t="shared" ca="1" si="13"/>
        <v>RA</v>
      </c>
      <c r="AA38" s="127" cm="1">
        <f t="array" aca="1" ref="AA38" ca="1">IF($C38="S",IF($Z38="CP",$X38,IF($Z38="RA",(($X38)*QCI!$AA$3),0)),SomaAgrup)</f>
        <v>688.47934907964975</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Cotação 01</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4"/>
        <v>0.15</v>
      </c>
      <c r="AJ38" s="431"/>
      <c r="AL38" s="439">
        <v>3483.88</v>
      </c>
      <c r="AM38" s="336">
        <f t="shared" ca="1" si="0"/>
        <v>8440.2199999999993</v>
      </c>
      <c r="AN38" s="470" cm="1">
        <f t="array" aca="1" ref="AN38" ca="1">ROUND(ORÇAMENTO.CustoUnitario*(1+$AH38),2)</f>
        <v>4935.8</v>
      </c>
    </row>
    <row r="39" spans="1:40" ht="25.5" x14ac:dyDescent="0.2">
      <c r="A39" t="str">
        <f t="shared" si="1"/>
        <v>S</v>
      </c>
      <c r="B39">
        <f t="shared" ca="1" si="2"/>
        <v>2</v>
      </c>
      <c r="C39" t="str">
        <f t="shared" ca="1" si="3"/>
        <v>S</v>
      </c>
      <c r="D39">
        <f t="shared" ca="1" si="4"/>
        <v>0</v>
      </c>
      <c r="E39">
        <f ca="1">IF($C39=1,OFFSET(E39,-1,0)+MAX(1,COUNTIF(QCI!$A$13:$A$24,OFFSET(ORÇAMENTO!E39,-1,0))),OFFSET(E39,-1,0))</f>
        <v>1</v>
      </c>
      <c r="F39">
        <f t="shared" ca="1" si="5"/>
        <v>5</v>
      </c>
      <c r="G39">
        <f t="shared" ca="1" si="6"/>
        <v>0</v>
      </c>
      <c r="H39">
        <f t="shared" ca="1" si="7"/>
        <v>0</v>
      </c>
      <c r="I39">
        <f t="shared" ca="1" si="8"/>
        <v>2</v>
      </c>
      <c r="J39">
        <f t="shared" ca="1" si="9"/>
        <v>0</v>
      </c>
      <c r="K39">
        <f ca="1">IF(OR($C39="S",$C39=0),0,MATCH(OFFSET($D39,0,$C39)+IF($C39&lt;&gt;1,1,COUNTIF(QCI!$A$13:$A$24,ORÇAMENTO!E39)),OFFSET($D39,1,$C39,ROW($C$44)-ROW($C39)),0))</f>
        <v>0</v>
      </c>
      <c r="L39" s="114" t="str">
        <f t="shared" ca="1" si="10"/>
        <v>F</v>
      </c>
      <c r="M39" s="115" t="s">
        <v>705</v>
      </c>
      <c r="N39" s="116" t="str">
        <f t="shared" ca="1" si="11"/>
        <v>Serviço</v>
      </c>
      <c r="O39" s="117" t="str">
        <f t="shared" ca="1" si="12"/>
        <v>1.5.2.</v>
      </c>
      <c r="P39" s="118" t="s">
        <v>957</v>
      </c>
      <c r="Q39" s="119" t="s">
        <v>1042</v>
      </c>
      <c r="R39" s="120" t="str" cm="1">
        <f t="array" aca="1" ref="R39" ca="1">IF($C39="S",REFERENCIA.Descricao,"(digite a descrição aqui)")</f>
        <v>(Código não identificado nas referências)</v>
      </c>
      <c r="S39" s="121" t="str" cm="1">
        <f t="array" aca="1" ref="S39" ca="1">REFERENCIA.Unidade</f>
        <v>-</v>
      </c>
      <c r="T39" s="122">
        <f ca="1">OFFSET(CÁLCULO!H$15,ROW($T39)-ROW(T$15),0)</f>
        <v>0.71</v>
      </c>
      <c r="U39" s="123">
        <v>4307.33</v>
      </c>
      <c r="V39" s="124" t="s">
        <v>697</v>
      </c>
      <c r="W39" s="122" cm="1">
        <f t="array" aca="1" ref="W39" ca="1">IF($C39="S",ROUND(IF(TIPOORCAMENTO="Proposto",ORÇAMENTO.CustoUnitario*(1+$AH39),ORÇAMENTO.PrecoUnitarioLicitado),15-13*$AF$10),0)</f>
        <v>4953.43</v>
      </c>
      <c r="X39" s="125" cm="1">
        <f t="array" aca="1" ref="X39" ca="1">IF($C39="S",IF(OR(Import.TipoArredondamento&lt;&gt;"TransfereGOV",ACOMPANHAMENTO="BM"),VTOTAL1,SUM(OFFSET(CÁLCULO!$AA$15,ROW($X39)-ROW($X$15),1):OFFSET(CÁLCULO!$AL$15,ROW($X39)-ROW($X$15),-1))),IF($C39=0,0,ROUND(SomaAgrup,15-13*$AF$11)))</f>
        <v>3516.94</v>
      </c>
      <c r="Y39" s="126" t="s">
        <v>751</v>
      </c>
      <c r="Z39" t="str">
        <f t="shared" ca="1" si="13"/>
        <v>RA</v>
      </c>
      <c r="AA39" s="127" cm="1">
        <f t="array" aca="1" ref="AA39" ca="1">IF($C39="S",IF($Z39="CP",$X39,IF($Z39="RA",(($X39)*QCI!$AA$3),0)),SomaAgrup)</f>
        <v>286.88121422808689</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CÓDIGO N/ID</v>
      </c>
      <c r="AD39" t="str">
        <f ca="1">IF(C39&lt;=CRONO.NivelExibicao,MAX($AD$15:OFFSET(AD39,-1,0))+IF($C39&lt;&gt;1,1,MAX(1,COUNTIF(QCI!$A$13:$A$24,OFFSET($E39,-1,0)))),"")</f>
        <v/>
      </c>
      <c r="AE39" s="7" t="str" cm="1">
        <f t="array" aca="1" ref="AE39" ca="1">IF(AND($C39="S",ORÇAMENTO.CodBarra&lt;&gt;""),IF(ORÇAMENTO.Fonte="",ORÇAMENTO.CodBarra,CONCATENATE(ORÇAMENTO.Fonte," ",ORÇAMENTO.CodBarra)))</f>
        <v>Cotação 02</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14"/>
        <v>0.15</v>
      </c>
      <c r="AJ39" s="431"/>
      <c r="AL39" s="439">
        <v>3925.13</v>
      </c>
      <c r="AM39" s="336">
        <f t="shared" ca="1" si="0"/>
        <v>3516.94</v>
      </c>
      <c r="AN39" s="470" cm="1">
        <f t="array" aca="1" ref="AN39" ca="1">ROUND(ORÇAMENTO.CustoUnitario*(1+$AH39),2)</f>
        <v>4953.43</v>
      </c>
    </row>
    <row r="40" spans="1:40" ht="25.5" x14ac:dyDescent="0.2">
      <c r="A40" t="str">
        <f t="shared" si="1"/>
        <v>S</v>
      </c>
      <c r="B40">
        <f t="shared" ca="1" si="2"/>
        <v>2</v>
      </c>
      <c r="C40" t="str">
        <f t="shared" ca="1" si="3"/>
        <v>S</v>
      </c>
      <c r="D40">
        <f t="shared" ca="1" si="4"/>
        <v>0</v>
      </c>
      <c r="E40">
        <f ca="1">IF($C40=1,OFFSET(E40,-1,0)+MAX(1,COUNTIF(QCI!$A$13:$A$24,OFFSET(ORÇAMENTO!E40,-1,0))),OFFSET(E40,-1,0))</f>
        <v>1</v>
      </c>
      <c r="F40">
        <f t="shared" ca="1" si="5"/>
        <v>5</v>
      </c>
      <c r="G40">
        <f t="shared" ca="1" si="6"/>
        <v>0</v>
      </c>
      <c r="H40">
        <f t="shared" ca="1" si="7"/>
        <v>0</v>
      </c>
      <c r="I40">
        <f t="shared" ca="1" si="8"/>
        <v>3</v>
      </c>
      <c r="J40">
        <f t="shared" ca="1" si="9"/>
        <v>0</v>
      </c>
      <c r="K40">
        <f ca="1">IF(OR($C40="S",$C40=0),0,MATCH(OFFSET($D40,0,$C40)+IF($C40&lt;&gt;1,1,COUNTIF(QCI!$A$13:$A$24,ORÇAMENTO!E40)),OFFSET($D40,1,$C40,ROW($C$44)-ROW($C40)),0))</f>
        <v>0</v>
      </c>
      <c r="L40" s="114" t="str">
        <f t="shared" ca="1" si="10"/>
        <v>F</v>
      </c>
      <c r="M40" s="115" t="s">
        <v>705</v>
      </c>
      <c r="N40" s="116" t="str">
        <f t="shared" ca="1" si="11"/>
        <v>Serviço</v>
      </c>
      <c r="O40" s="117" t="str">
        <f t="shared" ca="1" si="12"/>
        <v>1.5.3.</v>
      </c>
      <c r="P40" s="118" t="s">
        <v>957</v>
      </c>
      <c r="Q40" s="119" t="s">
        <v>1043</v>
      </c>
      <c r="R40" s="120" t="str" cm="1">
        <f t="array" aca="1" ref="R40" ca="1">IF($C40="S",REFERENCIA.Descricao,"(digite a descrição aqui)")</f>
        <v>(Código não identificado nas referências)</v>
      </c>
      <c r="S40" s="121" t="str" cm="1">
        <f t="array" aca="1" ref="S40" ca="1">REFERENCIA.Unidade</f>
        <v>-</v>
      </c>
      <c r="T40" s="122">
        <f ca="1">OFFSET(CÁLCULO!H$15,ROW($T40)-ROW(T$15),0)</f>
        <v>10.82</v>
      </c>
      <c r="U40" s="123">
        <v>5660.53</v>
      </c>
      <c r="V40" s="124" t="s">
        <v>697</v>
      </c>
      <c r="W40" s="122" cm="1">
        <f t="array" aca="1" ref="W40" ca="1">IF($C40="S",ROUND(IF(TIPOORCAMENTO="Proposto",ORÇAMENTO.CustoUnitario*(1+$AH40),ORÇAMENTO.PrecoUnitarioLicitado),15-13*$AF$10),0)</f>
        <v>6509.61</v>
      </c>
      <c r="X40" s="125" cm="1">
        <f t="array" aca="1" ref="X40" ca="1">IF($C40="S",IF(OR(Import.TipoArredondamento&lt;&gt;"TransfereGOV",ACOMPANHAMENTO="BM"),VTOTAL1,SUM(OFFSET(CÁLCULO!$AA$15,ROW($X40)-ROW($X$15),1):OFFSET(CÁLCULO!$AL$15,ROW($X40)-ROW($X$15),-1))),IF($C40=0,0,ROUND(SomaAgrup,15-13*$AF$11)))</f>
        <v>70433.98</v>
      </c>
      <c r="Y40" s="126" t="s">
        <v>751</v>
      </c>
      <c r="Z40" t="str">
        <f t="shared" ca="1" si="13"/>
        <v>RA</v>
      </c>
      <c r="AA40" s="127" cm="1">
        <f t="array" aca="1" ref="AA40" ca="1">IF($C40="S",IF($Z40="CP",$X40,IF($Z40="RA",(($X40)*QCI!$AA$3),0)),SomaAgrup)</f>
        <v>5745.3882367389797</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CÓDIGO N/ID</v>
      </c>
      <c r="AD40" t="str">
        <f ca="1">IF(C40&lt;=CRONO.NivelExibicao,MAX($AD$15:OFFSET(AD40,-1,0))+IF($C40&lt;&gt;1,1,MAX(1,COUNTIF(QCI!$A$13:$A$24,OFFSET($E40,-1,0)))),"")</f>
        <v/>
      </c>
      <c r="AE40" s="7" t="str" cm="1">
        <f t="array" aca="1" ref="AE40" ca="1">IF(AND($C40="S",ORÇAMENTO.CodBarra&lt;&gt;""),IF(ORÇAMENTO.Fonte="",ORÇAMENTO.CodBarra,CONCATENATE(ORÇAMENTO.Fonte," ",ORÇAMENTO.CodBarra)))</f>
        <v>Cotação 03</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t="shared" ca="1" si="14"/>
        <v>0.15</v>
      </c>
      <c r="AJ40" s="431"/>
      <c r="AL40" s="439">
        <v>5394.98</v>
      </c>
      <c r="AM40" s="336">
        <f t="shared" ca="1" si="0"/>
        <v>70433.98</v>
      </c>
      <c r="AN40" s="470" cm="1">
        <f t="array" aca="1" ref="AN40" ca="1">ROUND(ORÇAMENTO.CustoUnitario*(1+$AH40),2)</f>
        <v>6509.61</v>
      </c>
    </row>
    <row r="41" spans="1:40" ht="25.5" x14ac:dyDescent="0.2">
      <c r="A41" t="str">
        <f>CHOOSE(1+LOG(1+2*(ORÇAMENTO.Nivel="Meta")+4*(ORÇAMENTO.Nivel="Nível 2")+8*(ORÇAMENTO.Nivel="Nível 3")+16*(ORÇAMENTO.Nivel="Nível 4")+32*(ORÇAMENTO.Nivel="Serviço"),2),0,1,2,3,4,"S")</f>
        <v>S</v>
      </c>
      <c r="B41">
        <f ca="1">IF(OR(C41="s",C41=0),OFFSET(B41,-1,0),C41)</f>
        <v>2</v>
      </c>
      <c r="C41" t="str">
        <f ca="1">IF(OFFSET(C41,-1,0)="L",1,IF(OFFSET(C41,-1,0)=1,2,IF(OR(A41="s",A41=0),"S",IF(AND(OFFSET(C41,-1,0)=2,A41=4),3,IF(AND(OR(OFFSET(C41,-1,0)="s",OFFSET(C41,-1,0)=0),A41&lt;&gt;"s",A41&gt;OFFSET(B41,-1,0)),OFFSET(B41,-1,0),A41)))))</f>
        <v>S</v>
      </c>
      <c r="D41">
        <f ca="1">IF(OR(C41="S",C41=0),0,IF(ISERROR(K41),J41,SMALL(J41:K41,1)))</f>
        <v>0</v>
      </c>
      <c r="E41">
        <f ca="1">IF($C41=1,OFFSET(E41,-1,0)+MAX(1,COUNTIF(QCI!$A$13:$A$24,OFFSET(ORÇAMENTO!E41,-1,0))),OFFSET(E41,-1,0))</f>
        <v>1</v>
      </c>
      <c r="F41">
        <f ca="1">IF($C41=1,0,IF($C41=2,OFFSET(F41,-1,0)+1,OFFSET(F41,-1,0)))</f>
        <v>5</v>
      </c>
      <c r="G41">
        <f ca="1">IF(AND($C41&lt;=2,$C41&lt;&gt;0),0,IF($C41=3,OFFSET(G41,-1,0)+1,OFFSET(G41,-1,0)))</f>
        <v>0</v>
      </c>
      <c r="H41">
        <f ca="1">IF(AND($C41&lt;=3,$C41&lt;&gt;0),0,IF($C41=4,OFFSET(H41,-1,0)+1,OFFSET(H41,-1,0)))</f>
        <v>0</v>
      </c>
      <c r="I41">
        <f ca="1">IF(AND($C41&lt;=4,$C41&lt;&gt;0),0,IF(AND($C41="S",$X41&gt;0),OFFSET(I41,-1,0)+1,OFFSET(I41,-1,0)))</f>
        <v>4</v>
      </c>
      <c r="J41">
        <f t="shared" ca="1" si="9"/>
        <v>0</v>
      </c>
      <c r="K41">
        <f ca="1">IF(OR($C41="S",$C41=0),0,MATCH(OFFSET($D41,0,$C41)+IF($C41&lt;&gt;1,1,COUNTIF(QCI!$A$13:$A$24,ORÇAMENTO!E41)),OFFSET($D41,1,$C41,ROW($C$44)-ROW($C41)),0))</f>
        <v>0</v>
      </c>
      <c r="L41" s="114" t="str">
        <f ca="1">IF(OR($X41&gt;0,$C41=1,$C41=2,$C41=3,$C41=4),"F","")</f>
        <v>F</v>
      </c>
      <c r="M41" s="115" t="s">
        <v>705</v>
      </c>
      <c r="N41" s="116" t="str">
        <f ca="1">CHOOSE(1+LOG(1+2*(C41=1)+4*(C41=2)+8*(C41=3)+16*(C41=4)+32*(C41="S"),2),"","Meta","Nível 2","Nível 3","Nível 4","Serviço")</f>
        <v>Serviço</v>
      </c>
      <c r="O41" s="117" t="str">
        <f ca="1">IF(OR($C41=0,$L41=""),"-",CONCATENATE(E41&amp;".",IF(AND($A$5&gt;=2,$C41&gt;=2),F41&amp;".",""),IF(AND($A$5&gt;=3,$C41&gt;=3),G41&amp;".",""),IF(AND($A$5&gt;=4,$C41&gt;=4),H41&amp;".",""),IF($C41="S",I41&amp;".","")))</f>
        <v>1.5.4.</v>
      </c>
      <c r="P41" s="118" t="s">
        <v>955</v>
      </c>
      <c r="Q41" s="119" t="s">
        <v>1019</v>
      </c>
      <c r="R41" s="120" t="str" cm="1">
        <f t="array" aca="1" ref="R41" ca="1">IF($C41="S",REFERENCIA.Descricao,"(digite a descrição aqui)")</f>
        <v>(Código não identificado nas referências)</v>
      </c>
      <c r="S41" s="121" t="s">
        <v>638</v>
      </c>
      <c r="T41" s="122">
        <f ca="1">OFFSET(CÁLCULO!H$15,ROW($T41)-ROW(T$15),0)</f>
        <v>3895.87</v>
      </c>
      <c r="U41" s="123">
        <v>2.21</v>
      </c>
      <c r="V41" s="124" t="s">
        <v>663</v>
      </c>
      <c r="W41" s="122" cm="1">
        <f t="array" aca="1" ref="W41" ca="1">IF($C41="S",ROUND(IF(TIPOORCAMENTO="Proposto",ORÇAMENTO.CustoUnitario*(1+$AH41),ORÇAMENTO.PrecoUnitarioLicitado),15-13*$AF$10),0)</f>
        <v>2.75</v>
      </c>
      <c r="X41" s="125" cm="1">
        <f t="array" aca="1" ref="X41" ca="1">IF($C41="S",IF(OR(Import.TipoArredondamento&lt;&gt;"TransfereGOV",ACOMPANHAMENTO="BM"),VTOTAL1,SUM(OFFSET(CÁLCULO!$AA$15,ROW($X41)-ROW($X$15),1):OFFSET(CÁLCULO!$AL$15,ROW($X41)-ROW($X$15),-1))),IF($C41=0,0,ROUND(SomaAgrup,15-13*$AF$11)))</f>
        <v>10713.64</v>
      </c>
      <c r="Y41" s="126" t="s">
        <v>751</v>
      </c>
      <c r="Z41" t="str">
        <f ca="1">IF(AND($C41="S",$X41&gt;0),IF(ISBLANK($Y41),"RA",LEFT($Y41,2)),"")</f>
        <v>RA</v>
      </c>
      <c r="AA41" s="127" cm="1">
        <f t="array" aca="1" ref="AA41" ca="1">IF($C41="S",IF($Z41="CP",$X41,IF($Z41="RA",(($X41)*QCI!$AA$3),0)),SomaAgrup)</f>
        <v>873.925074639488</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CÓDIGO N/ID</v>
      </c>
      <c r="AD41" t="str">
        <f ca="1">IF(C41&lt;=CRONO.NivelExibicao,MAX($AD$15:OFFSET(AD41,-1,0))+IF($C41&lt;&gt;1,1,MAX(1,COUNTIF(QCI!$A$13:$A$24,OFFSET($E41,-1,0)))),"")</f>
        <v/>
      </c>
      <c r="AE41" s="7" t="str" cm="1">
        <f t="array" aca="1" ref="AE41" ca="1">IF(AND($C41="S",ORÇAMENTO.CodBarra&lt;&gt;""),IF(ORÇAMENTO.Fonte="",ORÇAMENTO.CodBarra,CONCATENATE(ORÇAMENTO.Fonte," ",ORÇAMENTO.CodBarra)))</f>
        <v>SICRO 5914622</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ca="1">ROUND(IF(ISNUMBER(ORÇAMENTO.OpcaoBDI),ORÇAMENTO.OpcaoBDI,IF(LEFT(ORÇAMENTO.OpcaoBDI,3)="BDI",HLOOKUP(ORÇAMENTO.OpcaoBDI,$F$4:$H$5,2,FALSE),0)),15-11*$AF$9)</f>
        <v>0.24229999999999999</v>
      </c>
      <c r="AJ41" s="431"/>
      <c r="AL41" s="439"/>
      <c r="AM41" s="336">
        <f t="shared" ca="1" si="0"/>
        <v>10713.64</v>
      </c>
      <c r="AN41" s="470" cm="1">
        <f t="array" aca="1" ref="AN41" ca="1">ROUND(ORÇAMENTO.CustoUnitario*(1+$AH41),2)</f>
        <v>2.75</v>
      </c>
    </row>
    <row r="42" spans="1:40" x14ac:dyDescent="0.2">
      <c r="A42">
        <f t="shared" si="1"/>
        <v>2</v>
      </c>
      <c r="B42">
        <f t="shared" ca="1" si="2"/>
        <v>2</v>
      </c>
      <c r="C42">
        <f t="shared" ca="1" si="3"/>
        <v>2</v>
      </c>
      <c r="D42">
        <f t="shared" ca="1" si="4"/>
        <v>2</v>
      </c>
      <c r="E42">
        <f ca="1">IF($C42=1,OFFSET(E42,-1,0)+MAX(1,COUNTIF(QCI!$A$13:$A$24,OFFSET(ORÇAMENTO!E42,-1,0))),OFFSET(E42,-1,0))</f>
        <v>1</v>
      </c>
      <c r="F42">
        <f t="shared" ca="1" si="5"/>
        <v>6</v>
      </c>
      <c r="G42">
        <f t="shared" ca="1" si="6"/>
        <v>0</v>
      </c>
      <c r="H42">
        <f t="shared" ca="1" si="7"/>
        <v>0</v>
      </c>
      <c r="I42">
        <f t="shared" ca="1" si="8"/>
        <v>0</v>
      </c>
      <c r="J42">
        <f t="shared" ca="1" si="9"/>
        <v>2</v>
      </c>
      <c r="K42" t="e">
        <f ca="1">IF(OR($C42="S",$C42=0),0,MATCH(OFFSET($D42,0,$C42)+IF($C42&lt;&gt;1,1,COUNTIF(QCI!$A$13:$A$24,ORÇAMENTO!E42)),OFFSET($D42,1,$C42,ROW($C$44)-ROW($C42)),0))</f>
        <v>#N/A</v>
      </c>
      <c r="L42" s="114" t="str">
        <f t="shared" ca="1" si="10"/>
        <v>F</v>
      </c>
      <c r="M42" s="115" t="s">
        <v>702</v>
      </c>
      <c r="N42" s="116" t="str">
        <f t="shared" ca="1" si="11"/>
        <v>Nível 2</v>
      </c>
      <c r="O42" s="117" t="str">
        <f t="shared" ca="1" si="12"/>
        <v>1.6.</v>
      </c>
      <c r="P42" s="118" t="s">
        <v>750</v>
      </c>
      <c r="Q42" s="119"/>
      <c r="R42" s="120" t="s">
        <v>1020</v>
      </c>
      <c r="S42" s="121" t="str" cm="1">
        <f t="array" aca="1" ref="S42" ca="1">REFERENCIA.Unidade</f>
        <v>-</v>
      </c>
      <c r="T42" s="122">
        <f ca="1">OFFSET(CÁLCULO!H$15,ROW($T42)-ROW(T$15),0)</f>
        <v>0</v>
      </c>
      <c r="U42" s="123"/>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2786.4</v>
      </c>
      <c r="Y42" s="126" t="s">
        <v>751</v>
      </c>
      <c r="Z42" t="str">
        <f t="shared" ca="1" si="13"/>
        <v/>
      </c>
      <c r="AA42" s="127" cm="1">
        <f t="array" aca="1" ref="AA42" ca="1">IF($C42="S",IF($Z42="CP",$X42,IF($Z42="RA",(($X42)*QCI!$AA$3),0)),SomaAgrup)</f>
        <v>227.29014863066797</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f ca="1">IF(C42&lt;=CRONO.NivelExibicao,MAX($AD$15:OFFSET(AD42,-1,0))+IF($C42&lt;&gt;1,1,MAX(1,COUNTIF(QCI!$A$13:$A$24,OFFSET($E42,-1,0)))),"")</f>
        <v>7</v>
      </c>
      <c r="AE42" s="7" t="b" cm="1">
        <f t="array" aca="1" ref="AE42" ca="1">IF(AND($C42="S",ORÇAMENTO.CodBarra&lt;&gt;""),IF(ORÇAMENTO.Fonte="",ORÇAMENTO.CodBarra,CONCATENATE(ORÇAMENTO.Fonte," ",ORÇAMENTO.CodBarra)))</f>
        <v>0</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8" cm="1">
        <f t="array" aca="1" ref="AG42" ca="1">ROUND(IF(DESONERACAO="sim",REFERENCIA.Desonerado,REFERENCIA.NaoDesonerado),2)</f>
        <v>0</v>
      </c>
      <c r="AH42" s="429">
        <f t="shared" ca="1" si="14"/>
        <v>0.24229999999999999</v>
      </c>
      <c r="AJ42" s="431"/>
      <c r="AL42" s="439"/>
      <c r="AM42" s="336">
        <f t="shared" ca="1" si="0"/>
        <v>2786.4</v>
      </c>
      <c r="AN42" s="470" cm="1">
        <f t="array" aca="1" ref="AN42" ca="1">ROUND(ORÇAMENTO.CustoUnitario*(1+$AH42),2)</f>
        <v>0</v>
      </c>
    </row>
    <row r="43" spans="1:40" x14ac:dyDescent="0.2">
      <c r="A43" t="str">
        <f t="shared" si="1"/>
        <v>S</v>
      </c>
      <c r="B43">
        <f t="shared" ca="1" si="2"/>
        <v>2</v>
      </c>
      <c r="C43" t="str">
        <f t="shared" ca="1" si="3"/>
        <v>S</v>
      </c>
      <c r="D43">
        <f t="shared" ca="1" si="4"/>
        <v>0</v>
      </c>
      <c r="E43">
        <f ca="1">IF($C43=1,OFFSET(E43,-1,0)+MAX(1,COUNTIF(QCI!$A$13:$A$24,OFFSET(ORÇAMENTO!E43,-1,0))),OFFSET(E43,-1,0))</f>
        <v>1</v>
      </c>
      <c r="F43">
        <f t="shared" ca="1" si="5"/>
        <v>6</v>
      </c>
      <c r="G43">
        <f t="shared" ca="1" si="6"/>
        <v>0</v>
      </c>
      <c r="H43">
        <f t="shared" ca="1" si="7"/>
        <v>0</v>
      </c>
      <c r="I43">
        <f t="shared" ca="1" si="8"/>
        <v>1</v>
      </c>
      <c r="J43">
        <f t="shared" ca="1" si="9"/>
        <v>0</v>
      </c>
      <c r="K43">
        <f ca="1">IF(OR($C43="S",$C43=0),0,MATCH(OFFSET($D43,0,$C43)+IF($C43&lt;&gt;1,1,COUNTIF(QCI!$A$13:$A$24,ORÇAMENTO!E43)),OFFSET($D43,1,$C43,ROW($C$44)-ROW($C43)),0))</f>
        <v>0</v>
      </c>
      <c r="L43" s="114" t="str">
        <f t="shared" ca="1" si="10"/>
        <v>F</v>
      </c>
      <c r="M43" s="115" t="s">
        <v>705</v>
      </c>
      <c r="N43" s="116" t="str">
        <f t="shared" ca="1" si="11"/>
        <v>Serviço</v>
      </c>
      <c r="O43" s="117" t="str">
        <f t="shared" ca="1" si="12"/>
        <v>1.6.1.</v>
      </c>
      <c r="P43" s="118" t="s">
        <v>955</v>
      </c>
      <c r="Q43" s="119" t="s">
        <v>1021</v>
      </c>
      <c r="R43" s="120" t="str" cm="1">
        <f t="array" aca="1" ref="R43" ca="1">IF($C43="S",REFERENCIA.Descricao,"(digite a descrição aqui)")</f>
        <v>(Código não identificado nas referências)</v>
      </c>
      <c r="S43" s="121" t="s">
        <v>623</v>
      </c>
      <c r="T43" s="122">
        <f ca="1">OFFSET(CÁLCULO!H$15,ROW($T43)-ROW(T$15),0)</f>
        <v>80</v>
      </c>
      <c r="U43" s="123">
        <v>28.04</v>
      </c>
      <c r="V43" s="124" t="s">
        <v>663</v>
      </c>
      <c r="W43" s="122" cm="1">
        <f t="array" aca="1" ref="W43" ca="1">IF($C43="S",ROUND(IF(TIPOORCAMENTO="Proposto",ORÇAMENTO.CustoUnitario*(1+$AH43),ORÇAMENTO.PrecoUnitarioLicitado),15-13*$AF$10),0)</f>
        <v>34.83</v>
      </c>
      <c r="X43" s="125" cm="1">
        <f t="array" aca="1" ref="X43" ca="1">IF($C43="S",IF(OR(Import.TipoArredondamento&lt;&gt;"TransfereGOV",ACOMPANHAMENTO="BM"),VTOTAL1,SUM(OFFSET(CÁLCULO!$AA$15,ROW($X43)-ROW($X$15),1):OFFSET(CÁLCULO!$AL$15,ROW($X43)-ROW($X$15),-1))),IF($C43=0,0,ROUND(SomaAgrup,15-13*$AF$11)))</f>
        <v>2786.4</v>
      </c>
      <c r="Y43" s="126" t="s">
        <v>751</v>
      </c>
      <c r="Z43" t="str">
        <f t="shared" ca="1" si="13"/>
        <v>RA</v>
      </c>
      <c r="AA43" s="127" cm="1">
        <f t="array" aca="1" ref="AA43" ca="1">IF($C43="S",IF($Z43="CP",$X43,IF($Z43="RA",(($X43)*QCI!$AA$3),0)),SomaAgrup)</f>
        <v>227.29014863066797</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CÓDIGO N/ID</v>
      </c>
      <c r="AD43" t="str">
        <f ca="1">IF(C43&lt;=CRONO.NivelExibicao,MAX($AD$15:OFFSET(AD43,-1,0))+IF($C43&lt;&gt;1,1,MAX(1,COUNTIF(QCI!$A$13:$A$24,OFFSET($E43,-1,0)))),"")</f>
        <v/>
      </c>
      <c r="AE43" s="7" t="str" cm="1">
        <f t="array" aca="1" ref="AE43" ca="1">IF(AND($C43="S",ORÇAMENTO.CodBarra&lt;&gt;""),IF(ORÇAMENTO.Fonte="",ORÇAMENTO.CodBarra,CONCATENATE(ORÇAMENTO.Fonte," ",ORÇAMENTO.CodBarra)))</f>
        <v>SICRO 5213401</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14"/>
        <v>0.24229999999999999</v>
      </c>
      <c r="AJ43" s="431"/>
      <c r="AL43" s="439">
        <v>33.94</v>
      </c>
      <c r="AM43" s="336">
        <f t="shared" ca="1" si="0"/>
        <v>2786.4</v>
      </c>
      <c r="AN43" s="470" cm="1">
        <f t="array" aca="1" ref="AN43" ca="1">ROUND(ORÇAMENTO.CustoUnitario*(1+$AH43),2)</f>
        <v>34.83</v>
      </c>
    </row>
    <row r="44" spans="1:40" ht="5.0999999999999996" customHeight="1" x14ac:dyDescent="0.2">
      <c r="A44">
        <v>-1</v>
      </c>
      <c r="C44">
        <v>-1</v>
      </c>
      <c r="E44">
        <v>0</v>
      </c>
      <c r="F44">
        <v>0</v>
      </c>
      <c r="G44">
        <v>0</v>
      </c>
      <c r="H44">
        <v>0</v>
      </c>
      <c r="I44">
        <v>0</v>
      </c>
      <c r="L44" s="114" t="s">
        <v>536</v>
      </c>
      <c r="M44" s="616"/>
      <c r="N44" s="424"/>
      <c r="O44" s="616"/>
      <c r="P44" s="617"/>
      <c r="Q44" s="617"/>
      <c r="R44" s="617"/>
      <c r="S44" s="617"/>
      <c r="T44" s="617"/>
      <c r="U44" s="617"/>
      <c r="V44" s="617"/>
      <c r="W44" s="617"/>
      <c r="X44" s="424"/>
      <c r="Y44" s="424"/>
      <c r="AC44" s="565" t="str" cm="1">
        <f t="array" ref="AC44">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F44" s="12"/>
      <c r="AG44" s="618"/>
      <c r="AH44" s="419"/>
      <c r="AJ44" s="425"/>
      <c r="AL44" s="618"/>
      <c r="AM44" s="619"/>
      <c r="AN44" s="419"/>
    </row>
    <row r="45" spans="1:40" x14ac:dyDescent="0.2">
      <c r="AF45" s="12"/>
    </row>
    <row r="46" spans="1:40" x14ac:dyDescent="0.2">
      <c r="AF46" s="12"/>
    </row>
    <row r="47" spans="1:40" ht="14.25" x14ac:dyDescent="0.2">
      <c r="O47" s="134" t="s">
        <v>753</v>
      </c>
      <c r="Q47" s="714" t="s">
        <v>754</v>
      </c>
      <c r="R47" s="714"/>
      <c r="S47" s="714"/>
      <c r="T47" s="714"/>
      <c r="U47" s="714"/>
      <c r="V47" s="714"/>
      <c r="W47" s="714"/>
      <c r="X47" s="714"/>
      <c r="AF47" s="12"/>
    </row>
    <row r="48" spans="1:40" x14ac:dyDescent="0.2">
      <c r="AF48" s="12"/>
    </row>
    <row r="49" spans="15:32" ht="14.25" x14ac:dyDescent="0.2">
      <c r="O49" s="135" t="s">
        <v>689</v>
      </c>
      <c r="X49" s="4"/>
      <c r="AF49" s="12"/>
    </row>
    <row r="50" spans="15:32" ht="12.75" customHeight="1" x14ac:dyDescent="0.2">
      <c r="O50" s="715"/>
      <c r="P50" s="715"/>
      <c r="Q50" s="715"/>
      <c r="R50" s="715"/>
      <c r="S50" s="715"/>
      <c r="T50" s="715"/>
      <c r="U50" s="715"/>
      <c r="V50" s="715"/>
      <c r="W50" s="715"/>
      <c r="X50" s="715"/>
      <c r="AF50" s="12"/>
    </row>
    <row r="51" spans="15:32" x14ac:dyDescent="0.2">
      <c r="O51" s="715"/>
      <c r="P51" s="715"/>
      <c r="Q51" s="715"/>
      <c r="R51" s="715"/>
      <c r="S51" s="715"/>
      <c r="T51" s="715"/>
      <c r="U51" s="715"/>
      <c r="V51" s="715"/>
      <c r="W51" s="715"/>
      <c r="X51" s="715"/>
      <c r="AF51" s="12"/>
    </row>
    <row r="52" spans="15:32" x14ac:dyDescent="0.2">
      <c r="O52" s="715"/>
      <c r="P52" s="715"/>
      <c r="Q52" s="715"/>
      <c r="R52" s="715"/>
      <c r="S52" s="715"/>
      <c r="T52" s="715"/>
      <c r="U52" s="715"/>
      <c r="V52" s="715"/>
      <c r="W52" s="715"/>
      <c r="X52" s="715"/>
      <c r="AF52" s="12"/>
    </row>
    <row r="53" spans="15:32" ht="14.25" x14ac:dyDescent="0.2">
      <c r="O53" s="443"/>
      <c r="P53" s="443"/>
      <c r="Q53" s="443"/>
      <c r="R53" s="443"/>
      <c r="S53" s="443"/>
      <c r="T53" s="443"/>
      <c r="U53" s="443"/>
      <c r="V53" s="443"/>
      <c r="W53" s="443"/>
      <c r="X53" s="443"/>
      <c r="Y53" s="443"/>
      <c r="Z53" s="136"/>
      <c r="AA53" s="136"/>
      <c r="AB53" s="136"/>
      <c r="AF53" s="12"/>
    </row>
    <row r="54" spans="15:32" ht="15" x14ac:dyDescent="0.25">
      <c r="O54" s="716"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54" s="716"/>
      <c r="Q54" s="716"/>
      <c r="R54" s="716"/>
      <c r="S54" s="716"/>
      <c r="T54" s="716"/>
      <c r="U54" s="716"/>
      <c r="V54" s="716"/>
      <c r="W54" s="716"/>
      <c r="X54" s="716"/>
      <c r="Y54" s="137"/>
      <c r="Z54" s="137"/>
      <c r="AA54" s="137"/>
      <c r="AB54" s="137"/>
      <c r="AF54" s="12"/>
    </row>
    <row r="55" spans="15:32" ht="15" customHeight="1" x14ac:dyDescent="0.25">
      <c r="O55" s="718" t="s">
        <v>755</v>
      </c>
      <c r="P55" s="718"/>
      <c r="Q55" s="718"/>
      <c r="R55" s="718"/>
      <c r="S55" s="718"/>
      <c r="T55" s="718"/>
      <c r="U55" s="718"/>
      <c r="V55" s="718"/>
      <c r="W55" s="718"/>
      <c r="X55" s="718"/>
      <c r="Y55" s="137"/>
      <c r="Z55" s="137"/>
      <c r="AA55" s="137"/>
      <c r="AB55" s="137"/>
      <c r="AF55" s="12"/>
    </row>
    <row r="56" spans="15:32" x14ac:dyDescent="0.2">
      <c r="AF56" s="12"/>
    </row>
    <row r="57" spans="15:32" ht="30" customHeight="1" x14ac:dyDescent="0.2">
      <c r="O57" s="717" t="str">
        <f>Import.Município</f>
        <v>Ivorá/RS</v>
      </c>
      <c r="P57" s="717"/>
      <c r="Q57" s="717"/>
      <c r="S57" s="460"/>
      <c r="T57" s="460"/>
      <c r="U57" s="460"/>
      <c r="V57" s="460"/>
      <c r="W57" s="417"/>
      <c r="AF57" s="12"/>
    </row>
    <row r="58" spans="15:32" x14ac:dyDescent="0.2">
      <c r="O58" s="9" t="s">
        <v>693</v>
      </c>
      <c r="S58" s="181" t="s">
        <v>696</v>
      </c>
      <c r="T58" s="181"/>
      <c r="U58" s="181"/>
      <c r="V58" s="181"/>
      <c r="AF58" s="12"/>
    </row>
    <row r="59" spans="15:32" x14ac:dyDescent="0.2">
      <c r="S59" s="77" t="s">
        <v>240</v>
      </c>
      <c r="T59" s="78" t="str">
        <f t="array" ref="T59:T61">Import.RespOrçamento</f>
        <v>Vitor Camargo Costa</v>
      </c>
      <c r="V59" s="79"/>
      <c r="AF59" s="12"/>
    </row>
    <row r="60" spans="15:32" x14ac:dyDescent="0.2">
      <c r="O60" s="711">
        <f>DADOS!$C$25</f>
        <v>46169</v>
      </c>
      <c r="P60" s="711"/>
      <c r="Q60" s="711"/>
      <c r="S60" s="77" t="s">
        <v>243</v>
      </c>
      <c r="T60" s="78" t="str">
        <v>RS 203284</v>
      </c>
      <c r="U60" s="79"/>
      <c r="V60" s="79"/>
      <c r="AF60" s="12"/>
    </row>
    <row r="61" spans="15:32" x14ac:dyDescent="0.2">
      <c r="O61" s="140" t="s">
        <v>694</v>
      </c>
      <c r="P61" s="1"/>
      <c r="Q61" s="1"/>
      <c r="S61" s="77" t="s">
        <v>246</v>
      </c>
      <c r="T61" s="78">
        <v>14443886</v>
      </c>
      <c r="U61" s="79"/>
      <c r="V61" s="79"/>
      <c r="AF61" s="12"/>
    </row>
    <row r="62" spans="15:32" x14ac:dyDescent="0.2">
      <c r="AF62" s="12"/>
    </row>
    <row r="63" spans="15:32" x14ac:dyDescent="0.2">
      <c r="AF63" s="12"/>
    </row>
    <row r="64" spans="15:32" x14ac:dyDescent="0.2">
      <c r="AF64" s="12"/>
    </row>
    <row r="65" spans="32:32" x14ac:dyDescent="0.2">
      <c r="AF65" s="12"/>
    </row>
    <row r="66" spans="32:32" x14ac:dyDescent="0.2">
      <c r="AF66" s="12"/>
    </row>
    <row r="67" spans="32:32" x14ac:dyDescent="0.2">
      <c r="AF67" s="12"/>
    </row>
    <row r="68" spans="32:32" x14ac:dyDescent="0.2">
      <c r="AF68" s="12"/>
    </row>
    <row r="69" spans="32:32" x14ac:dyDescent="0.2">
      <c r="AF69" s="12"/>
    </row>
    <row r="70" spans="32:32" x14ac:dyDescent="0.2">
      <c r="AF70" s="12"/>
    </row>
    <row r="71" spans="32:32" x14ac:dyDescent="0.2">
      <c r="AF71" s="12"/>
    </row>
    <row r="72" spans="32:32" x14ac:dyDescent="0.2">
      <c r="AF72" s="12"/>
    </row>
    <row r="73" spans="32:32" x14ac:dyDescent="0.2">
      <c r="AF73" s="12"/>
    </row>
    <row r="74" spans="32:32" x14ac:dyDescent="0.2">
      <c r="AF74" s="12"/>
    </row>
    <row r="75" spans="32:32" x14ac:dyDescent="0.2">
      <c r="AF75" s="12"/>
    </row>
    <row r="76" spans="32:32" x14ac:dyDescent="0.2">
      <c r="AF76" s="12"/>
    </row>
    <row r="77" spans="32:32" x14ac:dyDescent="0.2">
      <c r="AF77" s="12"/>
    </row>
    <row r="78" spans="32:32" x14ac:dyDescent="0.2">
      <c r="AF78" s="12"/>
    </row>
    <row r="79" spans="32:32" x14ac:dyDescent="0.2">
      <c r="AF79" s="12"/>
    </row>
    <row r="80" spans="32: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sheetData>
  <sheetProtection algorithmName="SHA-512" hashValue="gfkesNV0473BaHHBNfkOY9iSeQO6vv0WFfqludoZlqw+wj9d/Hhs/AcdUS6qopmz5lJXolGWmM6LTw/VAyLqeA==" saltValue="6E7EGTUScJDqZ6Ry/wvD/g==" spinCount="100000" sheet="1" objects="1" scenarios="1" autoFilter="0"/>
  <autoFilter ref="L15:L44"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60:Q60"/>
    <mergeCell ref="O15:R15"/>
    <mergeCell ref="Q47:X47"/>
    <mergeCell ref="O50:X52"/>
    <mergeCell ref="O54:X54"/>
    <mergeCell ref="O57:Q57"/>
    <mergeCell ref="O55:X55"/>
  </mergeCells>
  <phoneticPr fontId="38" type="noConversion"/>
  <conditionalFormatting sqref="M14 M42:M43">
    <cfRule type="cellIs" dxfId="586" priority="43138" stopIfTrue="1" operator="notEqual">
      <formula>$N14</formula>
    </cfRule>
  </conditionalFormatting>
  <conditionalFormatting sqref="N14:O14 W14 W42:X43 R42:R43 N42:O43">
    <cfRule type="expression" dxfId="585" priority="43139" stopIfTrue="1">
      <formula>$C14=1</formula>
    </cfRule>
    <cfRule type="expression" dxfId="584" priority="43140" stopIfTrue="1">
      <formula>OR($C14=0,$C14=2,$C14=3,$C14=4)</formula>
    </cfRule>
  </conditionalFormatting>
  <conditionalFormatting sqref="U14:V14 U42:V43">
    <cfRule type="expression" dxfId="583" priority="43141" stopIfTrue="1">
      <formula>$C14=1</formula>
    </cfRule>
    <cfRule type="expression" dxfId="582" priority="43142" stopIfTrue="1">
      <formula>OR($C14=0,$C14=2,$C14=3,$C14=4)</formula>
    </cfRule>
    <cfRule type="expression" dxfId="581" priority="43143" stopIfTrue="1">
      <formula>AND(TIPOORCAMENTO="Licitado",$C14&lt;&gt;"L",$C14&lt;&gt;-1)</formula>
    </cfRule>
  </conditionalFormatting>
  <conditionalFormatting sqref="P14:Q14 S14:T14 Y14 AG14:AH14 P42:Q43 S42:T43 Y42:Y43 AG42:AH43">
    <cfRule type="expression" dxfId="580" priority="43144" stopIfTrue="1">
      <formula>$C14=1</formula>
    </cfRule>
    <cfRule type="expression" dxfId="579" priority="43145" stopIfTrue="1">
      <formula>OR($C14=0,$C14=2,$C14=3,$C14=4)</formula>
    </cfRule>
  </conditionalFormatting>
  <conditionalFormatting sqref="AJ7:AJ44">
    <cfRule type="expression" dxfId="578" priority="43146" stopIfTrue="1">
      <formula>OR(ACOMPANHAMENTO&lt;&gt;"BM",TIPOORCAMENTO="Licitado")</formula>
    </cfRule>
    <cfRule type="expression" dxfId="577" priority="43147" stopIfTrue="1">
      <formula>$C7=1</formula>
    </cfRule>
    <cfRule type="expression" dxfId="576" priority="43148" stopIfTrue="1">
      <formula>OR(AND(ISNUMBER($C7),$C7=0),$C7=2,$C7=3,$C7=4)</formula>
    </cfRule>
  </conditionalFormatting>
  <conditionalFormatting sqref="AL7:AL44">
    <cfRule type="expression" dxfId="575" priority="43149" stopIfTrue="1">
      <formula>TIPOORCAMENTO="PROPOSTO"</formula>
    </cfRule>
    <cfRule type="expression" dxfId="574" priority="43150" stopIfTrue="1">
      <formula>$C7=1</formula>
    </cfRule>
    <cfRule type="expression" dxfId="573" priority="43151" stopIfTrue="1">
      <formula>OR(AND(ISNUMBER($C7),$C7=0),$C7=2,$C7=3,$C7=4)</formula>
    </cfRule>
  </conditionalFormatting>
  <conditionalFormatting sqref="O8:P8">
    <cfRule type="expression" dxfId="572" priority="43155" stopIfTrue="1">
      <formula>ISERROR(INDIRECT($F$9))</formula>
    </cfRule>
  </conditionalFormatting>
  <conditionalFormatting sqref="S7:V8">
    <cfRule type="expression" dxfId="571" priority="43156" stopIfTrue="1">
      <formula>TIPOORCAMENTO="Proposto"</formula>
    </cfRule>
  </conditionalFormatting>
  <conditionalFormatting sqref="S9:X9">
    <cfRule type="expression" dxfId="570" priority="43103" stopIfTrue="1">
      <formula>TIPOORCAMENTO="Proposto"</formula>
    </cfRule>
  </conditionalFormatting>
  <conditionalFormatting sqref="AM7:AN44">
    <cfRule type="expression" dxfId="569" priority="43152" stopIfTrue="1">
      <formula>TIPOORCAMENTO="PROPOSTO"</formula>
    </cfRule>
    <cfRule type="expression" dxfId="568" priority="43153" stopIfTrue="1">
      <formula>$C7=1</formula>
    </cfRule>
    <cfRule type="expression" dxfId="567" priority="43154" stopIfTrue="1">
      <formula>OR(AND(ISNUMBER($C7),$C7=0),$C7=2,$C7=3,$C7=4)</formula>
    </cfRule>
  </conditionalFormatting>
  <conditionalFormatting sqref="X14">
    <cfRule type="expression" dxfId="566" priority="28728" stopIfTrue="1">
      <formula>$C14=1</formula>
    </cfRule>
    <cfRule type="expression" dxfId="565" priority="28729" stopIfTrue="1">
      <formula>OR($C14=0,$C14=2,$C14=3,$C14=4)</formula>
    </cfRule>
  </conditionalFormatting>
  <conditionalFormatting sqref="AC11">
    <cfRule type="cellIs" dxfId="564" priority="19563" operator="equal">
      <formula>"OK"</formula>
    </cfRule>
  </conditionalFormatting>
  <conditionalFormatting sqref="R14">
    <cfRule type="expression" dxfId="563" priority="4495" stopIfTrue="1">
      <formula>$C14=1</formula>
    </cfRule>
    <cfRule type="expression" dxfId="562" priority="4496" stopIfTrue="1">
      <formula>OR($C14=0,$C14=2,$C14=3,$C14=4)</formula>
    </cfRule>
  </conditionalFormatting>
  <conditionalFormatting sqref="R14">
    <cfRule type="beginsWith" dxfId="561" priority="4494" operator="beginsWith" text="(">
      <formula>LEFT(R14,LEN("("))="("</formula>
    </cfRule>
  </conditionalFormatting>
  <conditionalFormatting sqref="M16:M19 M27 M21:M24">
    <cfRule type="cellIs" dxfId="560" priority="427" stopIfTrue="1" operator="notEqual">
      <formula>$N16</formula>
    </cfRule>
  </conditionalFormatting>
  <conditionalFormatting sqref="N16:O19 W16:W19 W27 N27:O27 W21:W24 N21:O24">
    <cfRule type="expression" dxfId="559" priority="428" stopIfTrue="1">
      <formula>$C16=1</formula>
    </cfRule>
    <cfRule type="expression" dxfId="558" priority="429" stopIfTrue="1">
      <formula>OR($C16=0,$C16=2,$C16=3,$C16=4)</formula>
    </cfRule>
  </conditionalFormatting>
  <conditionalFormatting sqref="U16:V19 U27:V27 U21:V24">
    <cfRule type="expression" dxfId="557" priority="430" stopIfTrue="1">
      <formula>$C16=1</formula>
    </cfRule>
    <cfRule type="expression" dxfId="556" priority="431" stopIfTrue="1">
      <formula>OR($C16=0,$C16=2,$C16=3,$C16=4)</formula>
    </cfRule>
    <cfRule type="expression" dxfId="555" priority="432" stopIfTrue="1">
      <formula>AND(TIPOORCAMENTO="Licitado",$C16&lt;&gt;"L",$C16&lt;&gt;-1)</formula>
    </cfRule>
  </conditionalFormatting>
  <conditionalFormatting sqref="P16:Q19 S16:T19 Y16:Y19 AG16:AH19 AG27:AH27 Y27 S27:T27 P27:Q27 AG21:AH24 Y21:Y24 S21:T24 P21:Q24">
    <cfRule type="expression" dxfId="554" priority="433" stopIfTrue="1">
      <formula>$C16=1</formula>
    </cfRule>
    <cfRule type="expression" dxfId="553" priority="434" stopIfTrue="1">
      <formula>OR($C16=0,$C16=2,$C16=3,$C16=4)</formula>
    </cfRule>
  </conditionalFormatting>
  <conditionalFormatting sqref="X16:X19 X27 X21:X24">
    <cfRule type="expression" dxfId="552" priority="425" stopIfTrue="1">
      <formula>$C16=1</formula>
    </cfRule>
    <cfRule type="expression" dxfId="551" priority="426" stopIfTrue="1">
      <formula>OR($C16=0,$C16=2,$C16=3,$C16=4)</formula>
    </cfRule>
  </conditionalFormatting>
  <conditionalFormatting sqref="R16:R19 R27 R21:R24">
    <cfRule type="expression" dxfId="550" priority="423" stopIfTrue="1">
      <formula>$C16=1</formula>
    </cfRule>
    <cfRule type="expression" dxfId="549" priority="424" stopIfTrue="1">
      <formula>OR($C16=0,$C16=2,$C16=3,$C16=4)</formula>
    </cfRule>
  </conditionalFormatting>
  <conditionalFormatting sqref="R16:R19 R27 R21:R24">
    <cfRule type="beginsWith" dxfId="548" priority="422" operator="beginsWith" text="(">
      <formula>LEFT(R16,LEN("("))="("</formula>
    </cfRule>
  </conditionalFormatting>
  <conditionalFormatting sqref="M29:M35 M37:M38">
    <cfRule type="cellIs" dxfId="547" priority="414" stopIfTrue="1" operator="notEqual">
      <formula>$N29</formula>
    </cfRule>
  </conditionalFormatting>
  <conditionalFormatting sqref="N29:O35 W29:W35 W37:W38 N37:O38">
    <cfRule type="expression" dxfId="546" priority="415" stopIfTrue="1">
      <formula>$C29=1</formula>
    </cfRule>
    <cfRule type="expression" dxfId="545" priority="416" stopIfTrue="1">
      <formula>OR($C29=0,$C29=2,$C29=3,$C29=4)</formula>
    </cfRule>
  </conditionalFormatting>
  <conditionalFormatting sqref="U29:V35 U37:V38">
    <cfRule type="expression" dxfId="544" priority="417" stopIfTrue="1">
      <formula>$C29=1</formula>
    </cfRule>
    <cfRule type="expression" dxfId="543" priority="418" stopIfTrue="1">
      <formula>OR($C29=0,$C29=2,$C29=3,$C29=4)</formula>
    </cfRule>
    <cfRule type="expression" dxfId="542" priority="419" stopIfTrue="1">
      <formula>AND(TIPOORCAMENTO="Licitado",$C29&lt;&gt;"L",$C29&lt;&gt;-1)</formula>
    </cfRule>
  </conditionalFormatting>
  <conditionalFormatting sqref="P29:Q35 S29:T35 Y29:Y35 AG29:AH35 AG37:AH38 Y37:Y38 S37:T38 P37:Q38">
    <cfRule type="expression" dxfId="541" priority="420" stopIfTrue="1">
      <formula>$C29=1</formula>
    </cfRule>
    <cfRule type="expression" dxfId="540" priority="421" stopIfTrue="1">
      <formula>OR($C29=0,$C29=2,$C29=3,$C29=4)</formula>
    </cfRule>
  </conditionalFormatting>
  <conditionalFormatting sqref="X29:X35 X37:X38">
    <cfRule type="expression" dxfId="539" priority="412" stopIfTrue="1">
      <formula>$C29=1</formula>
    </cfRule>
    <cfRule type="expression" dxfId="538" priority="413" stopIfTrue="1">
      <formula>OR($C29=0,$C29=2,$C29=3,$C29=4)</formula>
    </cfRule>
  </conditionalFormatting>
  <conditionalFormatting sqref="R29:R35 R37:R38">
    <cfRule type="expression" dxfId="537" priority="410" stopIfTrue="1">
      <formula>$C29=1</formula>
    </cfRule>
    <cfRule type="expression" dxfId="536" priority="411" stopIfTrue="1">
      <formula>OR($C29=0,$C29=2,$C29=3,$C29=4)</formula>
    </cfRule>
  </conditionalFormatting>
  <conditionalFormatting sqref="R29:R35 R37:R38">
    <cfRule type="beginsWith" dxfId="535" priority="409" operator="beginsWith" text="(">
      <formula>LEFT(R29,LEN("("))="("</formula>
    </cfRule>
  </conditionalFormatting>
  <conditionalFormatting sqref="M39:M40">
    <cfRule type="cellIs" dxfId="534" priority="401" stopIfTrue="1" operator="notEqual">
      <formula>$N39</formula>
    </cfRule>
  </conditionalFormatting>
  <conditionalFormatting sqref="N39:O40 W39:W40">
    <cfRule type="expression" dxfId="533" priority="402" stopIfTrue="1">
      <formula>$C39=1</formula>
    </cfRule>
    <cfRule type="expression" dxfId="532" priority="403" stopIfTrue="1">
      <formula>OR($C39=0,$C39=2,$C39=3,$C39=4)</formula>
    </cfRule>
  </conditionalFormatting>
  <conditionalFormatting sqref="U39:V40">
    <cfRule type="expression" dxfId="531" priority="404" stopIfTrue="1">
      <formula>$C39=1</formula>
    </cfRule>
    <cfRule type="expression" dxfId="530" priority="405" stopIfTrue="1">
      <formula>OR($C39=0,$C39=2,$C39=3,$C39=4)</formula>
    </cfRule>
    <cfRule type="expression" dxfId="529" priority="406" stopIfTrue="1">
      <formula>AND(TIPOORCAMENTO="Licitado",$C39&lt;&gt;"L",$C39&lt;&gt;-1)</formula>
    </cfRule>
  </conditionalFormatting>
  <conditionalFormatting sqref="P39:Q40 S39:T40 Y39:Y40 AG39:AH40">
    <cfRule type="expression" dxfId="528" priority="407" stopIfTrue="1">
      <formula>$C39=1</formula>
    </cfRule>
    <cfRule type="expression" dxfId="527" priority="408" stopIfTrue="1">
      <formula>OR($C39=0,$C39=2,$C39=3,$C39=4)</formula>
    </cfRule>
  </conditionalFormatting>
  <conditionalFormatting sqref="X39:X40">
    <cfRule type="expression" dxfId="526" priority="399" stopIfTrue="1">
      <formula>$C39=1</formula>
    </cfRule>
    <cfRule type="expression" dxfId="525" priority="400" stopIfTrue="1">
      <formula>OR($C39=0,$C39=2,$C39=3,$C39=4)</formula>
    </cfRule>
  </conditionalFormatting>
  <conditionalFormatting sqref="R39:R40">
    <cfRule type="expression" dxfId="524" priority="397" stopIfTrue="1">
      <formula>$C39=1</formula>
    </cfRule>
    <cfRule type="expression" dxfId="523" priority="398" stopIfTrue="1">
      <formula>OR($C39=0,$C39=2,$C39=3,$C39=4)</formula>
    </cfRule>
  </conditionalFormatting>
  <conditionalFormatting sqref="R39:R40">
    <cfRule type="beginsWith" dxfId="522" priority="396" operator="beginsWith" text="(">
      <formula>LEFT(R39,LEN("("))="("</formula>
    </cfRule>
  </conditionalFormatting>
  <conditionalFormatting sqref="R42:R43">
    <cfRule type="beginsWith" dxfId="521" priority="383" operator="beginsWith" text="(">
      <formula>LEFT(R42,LEN("("))="("</formula>
    </cfRule>
  </conditionalFormatting>
  <conditionalFormatting sqref="M25:M26">
    <cfRule type="cellIs" dxfId="520" priority="63" stopIfTrue="1" operator="notEqual">
      <formula>$N25</formula>
    </cfRule>
  </conditionalFormatting>
  <conditionalFormatting sqref="N25:O26 W25:W26">
    <cfRule type="expression" dxfId="519" priority="64" stopIfTrue="1">
      <formula>$C25=1</formula>
    </cfRule>
    <cfRule type="expression" dxfId="518" priority="65" stopIfTrue="1">
      <formula>OR($C25=0,$C25=2,$C25=3,$C25=4)</formula>
    </cfRule>
  </conditionalFormatting>
  <conditionalFormatting sqref="U25:V26">
    <cfRule type="expression" dxfId="517" priority="66" stopIfTrue="1">
      <formula>$C25=1</formula>
    </cfRule>
    <cfRule type="expression" dxfId="516" priority="67" stopIfTrue="1">
      <formula>OR($C25=0,$C25=2,$C25=3,$C25=4)</formula>
    </cfRule>
    <cfRule type="expression" dxfId="515" priority="68" stopIfTrue="1">
      <formula>AND(TIPOORCAMENTO="Licitado",$C25&lt;&gt;"L",$C25&lt;&gt;-1)</formula>
    </cfRule>
  </conditionalFormatting>
  <conditionalFormatting sqref="P25:Q26 S25:T26 Y25:Y26 AG25:AH26">
    <cfRule type="expression" dxfId="514" priority="69" stopIfTrue="1">
      <formula>$C25=1</formula>
    </cfRule>
    <cfRule type="expression" dxfId="513" priority="70" stopIfTrue="1">
      <formula>OR($C25=0,$C25=2,$C25=3,$C25=4)</formula>
    </cfRule>
  </conditionalFormatting>
  <conditionalFormatting sqref="X25:X26">
    <cfRule type="expression" dxfId="512" priority="61" stopIfTrue="1">
      <formula>$C25=1</formula>
    </cfRule>
    <cfRule type="expression" dxfId="511" priority="62" stopIfTrue="1">
      <formula>OR($C25=0,$C25=2,$C25=3,$C25=4)</formula>
    </cfRule>
  </conditionalFormatting>
  <conditionalFormatting sqref="R25:R26">
    <cfRule type="expression" dxfId="510" priority="59" stopIfTrue="1">
      <formula>$C25=1</formula>
    </cfRule>
    <cfRule type="expression" dxfId="509" priority="60" stopIfTrue="1">
      <formula>OR($C25=0,$C25=2,$C25=3,$C25=4)</formula>
    </cfRule>
  </conditionalFormatting>
  <conditionalFormatting sqref="R25:R26">
    <cfRule type="beginsWith" dxfId="508" priority="58" operator="beginsWith" text="(">
      <formula>LEFT(R25,LEN("("))="("</formula>
    </cfRule>
  </conditionalFormatting>
  <conditionalFormatting sqref="M28">
    <cfRule type="cellIs" dxfId="507" priority="50" stopIfTrue="1" operator="notEqual">
      <formula>$N28</formula>
    </cfRule>
  </conditionalFormatting>
  <conditionalFormatting sqref="N28:O28 W28">
    <cfRule type="expression" dxfId="506" priority="51" stopIfTrue="1">
      <formula>$C28=1</formula>
    </cfRule>
    <cfRule type="expression" dxfId="505" priority="52" stopIfTrue="1">
      <formula>OR($C28=0,$C28=2,$C28=3,$C28=4)</formula>
    </cfRule>
  </conditionalFormatting>
  <conditionalFormatting sqref="U28:V28">
    <cfRule type="expression" dxfId="504" priority="53" stopIfTrue="1">
      <formula>$C28=1</formula>
    </cfRule>
    <cfRule type="expression" dxfId="503" priority="54" stopIfTrue="1">
      <formula>OR($C28=0,$C28=2,$C28=3,$C28=4)</formula>
    </cfRule>
    <cfRule type="expression" dxfId="502" priority="55" stopIfTrue="1">
      <formula>AND(TIPOORCAMENTO="Licitado",$C28&lt;&gt;"L",$C28&lt;&gt;-1)</formula>
    </cfRule>
  </conditionalFormatting>
  <conditionalFormatting sqref="P28:Q28 S28:T28 Y28 AG28:AH28">
    <cfRule type="expression" dxfId="501" priority="56" stopIfTrue="1">
      <formula>$C28=1</formula>
    </cfRule>
    <cfRule type="expression" dxfId="500" priority="57" stopIfTrue="1">
      <formula>OR($C28=0,$C28=2,$C28=3,$C28=4)</formula>
    </cfRule>
  </conditionalFormatting>
  <conditionalFormatting sqref="X28">
    <cfRule type="expression" dxfId="499" priority="48" stopIfTrue="1">
      <formula>$C28=1</formula>
    </cfRule>
    <cfRule type="expression" dxfId="498" priority="49" stopIfTrue="1">
      <formula>OR($C28=0,$C28=2,$C28=3,$C28=4)</formula>
    </cfRule>
  </conditionalFormatting>
  <conditionalFormatting sqref="R28">
    <cfRule type="expression" dxfId="497" priority="46" stopIfTrue="1">
      <formula>$C28=1</formula>
    </cfRule>
    <cfRule type="expression" dxfId="496" priority="47" stopIfTrue="1">
      <formula>OR($C28=0,$C28=2,$C28=3,$C28=4)</formula>
    </cfRule>
  </conditionalFormatting>
  <conditionalFormatting sqref="R28">
    <cfRule type="beginsWith" dxfId="495" priority="45" operator="beginsWith" text="(">
      <formula>LEFT(R28,LEN("("))="("</formula>
    </cfRule>
  </conditionalFormatting>
  <conditionalFormatting sqref="M20">
    <cfRule type="cellIs" dxfId="494" priority="37" stopIfTrue="1" operator="notEqual">
      <formula>$N20</formula>
    </cfRule>
  </conditionalFormatting>
  <conditionalFormatting sqref="N20:O20 W20">
    <cfRule type="expression" dxfId="493" priority="38" stopIfTrue="1">
      <formula>$C20=1</formula>
    </cfRule>
    <cfRule type="expression" dxfId="492" priority="39" stopIfTrue="1">
      <formula>OR($C20=0,$C20=2,$C20=3,$C20=4)</formula>
    </cfRule>
  </conditionalFormatting>
  <conditionalFormatting sqref="U20:V20">
    <cfRule type="expression" dxfId="491" priority="40" stopIfTrue="1">
      <formula>$C20=1</formula>
    </cfRule>
    <cfRule type="expression" dxfId="490" priority="41" stopIfTrue="1">
      <formula>OR($C20=0,$C20=2,$C20=3,$C20=4)</formula>
    </cfRule>
    <cfRule type="expression" dxfId="489" priority="42" stopIfTrue="1">
      <formula>AND(TIPOORCAMENTO="Licitado",$C20&lt;&gt;"L",$C20&lt;&gt;-1)</formula>
    </cfRule>
  </conditionalFormatting>
  <conditionalFormatting sqref="P20:Q20 S20:T20 Y20 AG20:AH20">
    <cfRule type="expression" dxfId="488" priority="43" stopIfTrue="1">
      <formula>$C20=1</formula>
    </cfRule>
    <cfRule type="expression" dxfId="487" priority="44" stopIfTrue="1">
      <formula>OR($C20=0,$C20=2,$C20=3,$C20=4)</formula>
    </cfRule>
  </conditionalFormatting>
  <conditionalFormatting sqref="X20">
    <cfRule type="expression" dxfId="486" priority="35" stopIfTrue="1">
      <formula>$C20=1</formula>
    </cfRule>
    <cfRule type="expression" dxfId="485" priority="36" stopIfTrue="1">
      <formula>OR($C20=0,$C20=2,$C20=3,$C20=4)</formula>
    </cfRule>
  </conditionalFormatting>
  <conditionalFormatting sqref="R20">
    <cfRule type="expression" dxfId="484" priority="33" stopIfTrue="1">
      <formula>$C20=1</formula>
    </cfRule>
    <cfRule type="expression" dxfId="483" priority="34" stopIfTrue="1">
      <formula>OR($C20=0,$C20=2,$C20=3,$C20=4)</formula>
    </cfRule>
  </conditionalFormatting>
  <conditionalFormatting sqref="R20">
    <cfRule type="beginsWith" dxfId="482" priority="32" operator="beginsWith" text="(">
      <formula>LEFT(R20,LEN("("))="("</formula>
    </cfRule>
  </conditionalFormatting>
  <conditionalFormatting sqref="M36">
    <cfRule type="cellIs" dxfId="481" priority="24" stopIfTrue="1" operator="notEqual">
      <formula>$N36</formula>
    </cfRule>
  </conditionalFormatting>
  <conditionalFormatting sqref="N36:O36 W36">
    <cfRule type="expression" dxfId="480" priority="25" stopIfTrue="1">
      <formula>$C36=1</formula>
    </cfRule>
    <cfRule type="expression" dxfId="479" priority="26" stopIfTrue="1">
      <formula>OR($C36=0,$C36=2,$C36=3,$C36=4)</formula>
    </cfRule>
  </conditionalFormatting>
  <conditionalFormatting sqref="U36:V36">
    <cfRule type="expression" dxfId="478" priority="27" stopIfTrue="1">
      <formula>$C36=1</formula>
    </cfRule>
    <cfRule type="expression" dxfId="477" priority="28" stopIfTrue="1">
      <formula>OR($C36=0,$C36=2,$C36=3,$C36=4)</formula>
    </cfRule>
    <cfRule type="expression" dxfId="476" priority="29" stopIfTrue="1">
      <formula>AND(TIPOORCAMENTO="Licitado",$C36&lt;&gt;"L",$C36&lt;&gt;-1)</formula>
    </cfRule>
  </conditionalFormatting>
  <conditionalFormatting sqref="P36:Q36 S36:T36 Y36 AG36:AH36">
    <cfRule type="expression" dxfId="475" priority="30" stopIfTrue="1">
      <formula>$C36=1</formula>
    </cfRule>
    <cfRule type="expression" dxfId="474" priority="31" stopIfTrue="1">
      <formula>OR($C36=0,$C36=2,$C36=3,$C36=4)</formula>
    </cfRule>
  </conditionalFormatting>
  <conditionalFormatting sqref="X36">
    <cfRule type="expression" dxfId="473" priority="22" stopIfTrue="1">
      <formula>$C36=1</formula>
    </cfRule>
    <cfRule type="expression" dxfId="472" priority="23" stopIfTrue="1">
      <formula>OR($C36=0,$C36=2,$C36=3,$C36=4)</formula>
    </cfRule>
  </conditionalFormatting>
  <conditionalFormatting sqref="R36">
    <cfRule type="expression" dxfId="471" priority="20" stopIfTrue="1">
      <formula>$C36=1</formula>
    </cfRule>
    <cfRule type="expression" dxfId="470" priority="21" stopIfTrue="1">
      <formula>OR($C36=0,$C36=2,$C36=3,$C36=4)</formula>
    </cfRule>
  </conditionalFormatting>
  <conditionalFormatting sqref="R36">
    <cfRule type="beginsWith" dxfId="469" priority="19" operator="beginsWith" text="(">
      <formula>LEFT(R36,LEN("("))="("</formula>
    </cfRule>
  </conditionalFormatting>
  <conditionalFormatting sqref="M41">
    <cfRule type="cellIs" dxfId="468" priority="11" stopIfTrue="1" operator="notEqual">
      <formula>$N41</formula>
    </cfRule>
  </conditionalFormatting>
  <conditionalFormatting sqref="N41:O41 W41">
    <cfRule type="expression" dxfId="467" priority="12" stopIfTrue="1">
      <formula>$C41=1</formula>
    </cfRule>
    <cfRule type="expression" dxfId="466" priority="13" stopIfTrue="1">
      <formula>OR($C41=0,$C41=2,$C41=3,$C41=4)</formula>
    </cfRule>
  </conditionalFormatting>
  <conditionalFormatting sqref="U41:V41">
    <cfRule type="expression" dxfId="465" priority="14" stopIfTrue="1">
      <formula>$C41=1</formula>
    </cfRule>
    <cfRule type="expression" dxfId="464" priority="15" stopIfTrue="1">
      <formula>OR($C41=0,$C41=2,$C41=3,$C41=4)</formula>
    </cfRule>
    <cfRule type="expression" dxfId="463" priority="16" stopIfTrue="1">
      <formula>AND(TIPOORCAMENTO="Licitado",$C41&lt;&gt;"L",$C41&lt;&gt;-1)</formula>
    </cfRule>
  </conditionalFormatting>
  <conditionalFormatting sqref="P41:Q41 S41:T41 Y41 AG41:AH41">
    <cfRule type="expression" dxfId="462" priority="17" stopIfTrue="1">
      <formula>$C41=1</formula>
    </cfRule>
    <cfRule type="expression" dxfId="461" priority="18" stopIfTrue="1">
      <formula>OR($C41=0,$C41=2,$C41=3,$C41=4)</formula>
    </cfRule>
  </conditionalFormatting>
  <conditionalFormatting sqref="X41">
    <cfRule type="expression" dxfId="460" priority="9" stopIfTrue="1">
      <formula>$C41=1</formula>
    </cfRule>
    <cfRule type="expression" dxfId="459" priority="10" stopIfTrue="1">
      <formula>OR($C41=0,$C41=2,$C41=3,$C41=4)</formula>
    </cfRule>
  </conditionalFormatting>
  <conditionalFormatting sqref="R41">
    <cfRule type="expression" dxfId="458" priority="7" stopIfTrue="1">
      <formula>$C41=1</formula>
    </cfRule>
    <cfRule type="expression" dxfId="457" priority="8" stopIfTrue="1">
      <formula>OR($C41=0,$C41=2,$C41=3,$C41=4)</formula>
    </cfRule>
  </conditionalFormatting>
  <conditionalFormatting sqref="R41">
    <cfRule type="beginsWith" dxfId="456" priority="6" operator="beginsWith" text="(">
      <formula>LEFT(R41,LEN("("))="("</formula>
    </cfRule>
  </conditionalFormatting>
  <dataValidations count="8">
    <dataValidation type="decimal" operator="greaterThan" allowBlank="1" showErrorMessage="1" error="Apenas números decimais maiores que zero." sqref="U14 AL14 AJ14 AL16:AL43 AJ16:AJ43 U16:U43"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43"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43" xr:uid="{00000000-0002-0000-0400-000006000000}"/>
    <dataValidation type="list" errorStyle="information" allowBlank="1" showInputMessage="1" prompt="Selecione uma sigla de unidade na lista suspensa." sqref="S14 S16:S43"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43"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43"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43"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43"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IF(AUTOEVENTO="Manual",ROUND(SUMPRODUCT((CÁLCULO!$M$15:$M$44=EVENTOS!$C1)*(OFFSET(CÁLCULO!$AA$15:$AA$44,0,E$13))),2),0)</f>
        <v>0</v>
      </c>
      <c r="F1" s="183">
        <f ca="1">IF(AUTOEVENTO="Manual",ROUND(SUMPRODUCT((CÁLCULO!$M$15:$M$44=EVENTOS!$C1)*(OFFSET(CÁLCULO!$AA$15,0,1):OFFSET(CÁLCULO!$AL$44,0,-1))),2),0)</f>
        <v>0</v>
      </c>
      <c r="G1" s="621" t="str">
        <f ca="1">IF(AND(D1=0,F1&gt;0),"NOME",
 IF(AND(D1&lt;&gt;0,$F$14&gt;0,F1=0),"VALOR",
 IF(AND(Import.TipoArredondamento="TransfereGOV",$A1="F",LEN(D1)&gt;100),"Nome &gt;100","")))</f>
        <v/>
      </c>
      <c r="H1" s="620" cm="1">
        <f t="array" aca="1" ref="H1" ca="1">IF(AUTOEVENTO="Manual",ROUND(SUMPRODUCT((CÁLCULO!$M$15:$M$44=EVENTOS!$C1)*(OFFSET(CÁLCULO!$AA$15:$AA$44,0,H$13))),2),0)</f>
        <v>0</v>
      </c>
      <c r="I1" s="620" cm="1">
        <f t="array" aca="1" ref="I1" ca="1">IF(AUTOEVENTO="Manual",ROUND(SUMPRODUCT((CÁLCULO!$M$15:$M$44=EVENTOS!$C1)*(OFFSET(CÁLCULO!$AA$15:$AA$44,0,I$13))),2),0)</f>
        <v>0</v>
      </c>
      <c r="J1" s="620" cm="1">
        <f t="array" aca="1" ref="J1" ca="1">IF(AUTOEVENTO="Manual",ROUND(SUMPRODUCT((CÁLCULO!$M$15:$M$44=EVENTOS!$C1)*(OFFSET(CÁLCULO!$AA$15:$AA$44,0,J$13))),2),0)</f>
        <v>0</v>
      </c>
      <c r="K1" s="620" cm="1">
        <f t="array" aca="1" ref="K1" ca="1">IF(AUTOEVENTO="Manual",ROUND(SUMPRODUCT((CÁLCULO!$M$15:$M$44=EVENTOS!$C1)*(OFFSET(CÁLCULO!$AA$15:$AA$44,0,K$13))),2),0)</f>
        <v>0</v>
      </c>
      <c r="L1" s="620" cm="1">
        <f t="array" aca="1" ref="L1" ca="1">IF(AUTOEVENTO="Manual",ROUND(SUMPRODUCT((CÁLCULO!$M$15:$M$44=EVENTOS!$C1)*(OFFSET(CÁLCULO!$AA$15:$AA$44,0,L$13))),2),0)</f>
        <v>0</v>
      </c>
      <c r="M1" s="620" cm="1">
        <f t="array" aca="1" ref="M1" ca="1">IF(AUTOEVENTO="Manual",ROUND(SUMPRODUCT((CÁLCULO!$M$15:$M$44=EVENTOS!$C1)*(OFFSET(CÁLCULO!$AA$15:$AA$44,0,M$13))),2),0)</f>
        <v>0</v>
      </c>
      <c r="N1" s="620" cm="1">
        <f t="array" aca="1" ref="N1" ca="1">IF(AUTOEVENTO="Manual",ROUND(SUMPRODUCT((CÁLCULO!$M$15:$M$44=EVENTOS!$C1)*(OFFSET(CÁLCULO!$AA$15:$AA$44,0,N$13))),2),0)</f>
        <v>0</v>
      </c>
      <c r="O1" s="620" cm="1">
        <f t="array" aca="1" ref="O1" ca="1">IF(AUTOEVENTO="Manual",ROUND(SUMPRODUCT((CÁLCULO!$M$15:$M$44=EVENTOS!$C1)*(OFFSET(CÁLCULO!$AA$15:$AA$44,0,O$13))),2),0)</f>
        <v>0</v>
      </c>
      <c r="P1" s="620" cm="1">
        <f t="array" aca="1" ref="P1" ca="1">IF(AUTOEVENTO="Manual",ROUND(SUMPRODUCT((CÁLCULO!$M$15:$M$44=EVENTOS!$C1)*(OFFSET(CÁLCULO!$AA$15:$AA$44,0,P$13))),2),0)</f>
        <v>0</v>
      </c>
      <c r="Q1" s="620" cm="1">
        <f t="array" aca="1" ref="Q1" ca="1">IF(AUTOEVENTO="Manual",ROUND(SUMPRODUCT((CÁLCULO!$M$15:$M$44=EVENTOS!$C1)*(OFFSET(CÁLCULO!$AA$15:$AA$44,0,Q$13))),2),0)</f>
        <v>0</v>
      </c>
      <c r="R1" s="620" cm="1">
        <f t="array" aca="1" ref="R1" ca="1">IF(AUTOEVENTO="Manual",ROUND(SUMPRODUCT((CÁLCULO!$M$15:$M$44=EVENTOS!$C1)*(OFFSET(CÁLCULO!$AA$15:$AA$44,0,R$13))),2),0)</f>
        <v>0</v>
      </c>
      <c r="S1" s="620" cm="1">
        <f t="array" aca="1" ref="S1" ca="1">IF(AUTOEVENTO="Manual",ROUND(SUMPRODUCT((CÁLCULO!$M$15:$M$44=EVENTOS!$C1)*(OFFSET(CÁLCULO!$AA$15:$AA$44,0,S$13))),2),0)</f>
        <v>0</v>
      </c>
      <c r="T1" s="620" cm="1">
        <f t="array" aca="1" ref="T1" ca="1">IF(AUTOEVENTO="Manual",ROUND(SUMPRODUCT((CÁLCULO!$M$15:$M$44=EVENTOS!$C1)*(OFFSET(CÁLCULO!$AA$15:$AA$44,0,T$13))),2),0)</f>
        <v>0</v>
      </c>
      <c r="U1" s="620" cm="1">
        <f t="array" aca="1" ref="U1" ca="1">IF(AUTOEVENTO="Manual",ROUND(SUMPRODUCT((CÁLCULO!$M$15:$M$44=EVENTOS!$C1)*(OFFSET(CÁLCULO!$AA$15:$AA$44,0,U$13))),2),0)</f>
        <v>0</v>
      </c>
      <c r="V1" s="620" cm="1">
        <f t="array" aca="1" ref="V1" ca="1">IF(AUTOEVENTO="Manual",ROUND(SUMPRODUCT((CÁLCULO!$M$15:$M$44=EVENTOS!$C1)*(OFFSET(CÁLCULO!$AA$15:$AA$44,0,V$13))),2),0)</f>
        <v>0</v>
      </c>
      <c r="W1" s="620" cm="1">
        <f t="array" aca="1" ref="W1" ca="1">IF(AUTOEVENTO="Manual",ROUND(SUMPRODUCT((CÁLCULO!$M$15:$M$44=EVENTOS!$C1)*(OFFSET(CÁLCULO!$AA$15:$AA$44,0,W$13))),2),0)</f>
        <v>0</v>
      </c>
      <c r="X1" s="620" cm="1">
        <f t="array" aca="1" ref="X1" ca="1">IF(AUTOEVENTO="Manual",ROUND(SUMPRODUCT((CÁLCULO!$M$15:$M$44=EVENTOS!$C1)*(OFFSET(CÁLCULO!$AA$15:$AA$44,0,X$13))),2),0)</f>
        <v>0</v>
      </c>
      <c r="Y1" s="620" cm="1">
        <f t="array" aca="1" ref="Y1" ca="1">IF(AUTOEVENTO="Manual",ROUND(SUMPRODUCT((CÁLCULO!$M$15:$M$44=EVENTOS!$C1)*(OFFSET(CÁLCULO!$AA$15:$AA$44,0,Y$13))),2),0)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Município de Ivorá</v>
      </c>
      <c r="D5" s="503"/>
      <c r="E5" s="503"/>
      <c r="F5" s="733" t="str">
        <f>Import.Apelido</f>
        <v>Pavimentação Rua Padre Pedro Marcelino Copetti</v>
      </c>
      <c r="G5" s="734"/>
      <c r="H5" s="734"/>
      <c r="I5" s="734"/>
      <c r="J5" s="734"/>
      <c r="K5" s="734"/>
      <c r="L5" s="734"/>
      <c r="M5" s="735"/>
      <c r="N5" s="56" t="str">
        <f>Import.CR</f>
        <v>984561-2025</v>
      </c>
      <c r="O5" s="56" t="str">
        <f>Import.SICONV</f>
        <v>984561</v>
      </c>
      <c r="P5" s="733" t="str">
        <f>Import.Apelido</f>
        <v>Pavimentação Rua Padre Pedro Marcelino Copetti</v>
      </c>
      <c r="Q5" s="734"/>
      <c r="R5" s="734"/>
      <c r="S5" s="734"/>
      <c r="T5" s="734"/>
      <c r="U5" s="734"/>
      <c r="V5" s="734"/>
      <c r="W5" s="735"/>
      <c r="X5" s="56" t="str">
        <f>Import.CR</f>
        <v>984561-2025</v>
      </c>
      <c r="Y5" s="56" t="str">
        <f>Import.SICONV</f>
        <v>984561</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29" t="s">
        <v>937</v>
      </c>
      <c r="D8" s="730"/>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31" t="str">
        <f ca="1">OFFSET(CÁLCULO!$P$12,0,EVENTOS!E$13)</f>
        <v>Mês 1</v>
      </c>
      <c r="F10" t="s">
        <v>752</v>
      </c>
      <c r="G10" s="726"/>
      <c r="H10" s="731" t="str">
        <f ca="1">OFFSET(CÁLCULO!$P$12,0,EVENTOS!H$13)</f>
        <v>Mês 1</v>
      </c>
      <c r="I10" s="731" t="str">
        <f ca="1">OFFSET(CÁLCULO!$P$12,0,EVENTOS!I$13)</f>
        <v>Mês 2</v>
      </c>
      <c r="J10" s="731" t="str">
        <f ca="1">OFFSET(CÁLCULO!$P$12,0,EVENTOS!J$13)</f>
        <v>.</v>
      </c>
      <c r="K10" s="726" t="str">
        <f ca="1">OFFSET(CÁLCULO!$P$12,0,EVENTOS!K$13)</f>
        <v>.</v>
      </c>
      <c r="L10" s="726" t="str">
        <f ca="1">OFFSET(CÁLCULO!$P$12,0,EVENTOS!L$13)</f>
        <v>.</v>
      </c>
      <c r="M10" s="726" t="str">
        <f ca="1">OFFSET(CÁLCULO!$P$12,0,EVENTOS!M$13)</f>
        <v>.</v>
      </c>
      <c r="N10" s="726" t="str">
        <f ca="1">OFFSET(CÁLCULO!$P$12,0,EVENTOS!N$13)</f>
        <v>.</v>
      </c>
      <c r="O10" s="726" t="str">
        <f ca="1">OFFSET(CÁLCULO!$P$12,0,EVENTOS!O$13)</f>
        <v>.</v>
      </c>
      <c r="P10" s="726" t="str">
        <f ca="1">OFFSET(CÁLCULO!$P$12,0,EVENTOS!P$13)</f>
        <v>.</v>
      </c>
      <c r="Q10" s="726" t="str">
        <f ca="1">OFFSET(CÁLCULO!$P$12,0,EVENTOS!Q$13)</f>
        <v>.</v>
      </c>
      <c r="R10" s="726" t="str">
        <f ca="1">OFFSET(CÁLCULO!$P$12,0,EVENTOS!R$13)</f>
        <v>.</v>
      </c>
      <c r="S10" s="726" t="str">
        <f ca="1">OFFSET(CÁLCULO!$P$12,0,EVENTOS!S$13)</f>
        <v>.</v>
      </c>
      <c r="T10" s="726" t="str">
        <f ca="1">OFFSET(CÁLCULO!$P$12,0,EVENTOS!T$13)</f>
        <v>.</v>
      </c>
      <c r="U10" s="726" t="str">
        <f ca="1">OFFSET(CÁLCULO!$P$12,0,EVENTOS!U$13)</f>
        <v>.</v>
      </c>
      <c r="V10" s="726" t="str">
        <f ca="1">OFFSET(CÁLCULO!$P$12,0,EVENTOS!V$13)</f>
        <v>.</v>
      </c>
      <c r="W10" s="726" t="str">
        <f ca="1">OFFSET(CÁLCULO!$P$12,0,EVENTOS!W$13)</f>
        <v>.</v>
      </c>
      <c r="X10" s="726" t="str">
        <f ca="1">OFFSET(CÁLCULO!$P$12,0,EVENTOS!X$13)</f>
        <v>.</v>
      </c>
      <c r="Y10" s="726" t="str">
        <f ca="1">OFFSET(CÁLCULO!$P$12,0,EVENTOS!Y$13)</f>
        <v>.</v>
      </c>
    </row>
    <row r="11" spans="1:26" ht="35.1" customHeight="1" x14ac:dyDescent="0.2">
      <c r="A11" s="507" t="s">
        <v>655</v>
      </c>
      <c r="C11" s="732"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2"/>
      <c r="E11" s="731"/>
      <c r="F11" s="497"/>
      <c r="G11" s="727"/>
      <c r="H11" s="731"/>
      <c r="I11" s="731"/>
      <c r="J11" s="731"/>
      <c r="K11" s="727"/>
      <c r="L11" s="727"/>
      <c r="M11" s="727"/>
      <c r="N11" s="727"/>
      <c r="O11" s="727"/>
      <c r="P11" s="727"/>
      <c r="Q11" s="727"/>
      <c r="R11" s="727"/>
      <c r="S11" s="727"/>
      <c r="T11" s="727"/>
      <c r="U11" s="727"/>
      <c r="V11" s="727"/>
      <c r="W11" s="727"/>
      <c r="X11" s="727"/>
      <c r="Y11" s="727"/>
    </row>
    <row r="12" spans="1:26" ht="12" customHeight="1" x14ac:dyDescent="0.2">
      <c r="A12" s="508" t="s">
        <v>660</v>
      </c>
      <c r="E12" s="731"/>
      <c r="G12" s="728"/>
      <c r="H12" s="731"/>
      <c r="I12" s="731"/>
      <c r="J12" s="731"/>
      <c r="K12" s="728"/>
      <c r="L12" s="728"/>
      <c r="M12" s="728"/>
      <c r="N12" s="728"/>
      <c r="O12" s="728"/>
      <c r="P12" s="728"/>
      <c r="Q12" s="728"/>
      <c r="R12" s="728"/>
      <c r="S12" s="728"/>
      <c r="T12" s="728"/>
      <c r="U12" s="728"/>
      <c r="V12" s="728"/>
      <c r="W12" s="728"/>
      <c r="X12" s="728"/>
      <c r="Y12" s="728"/>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IF($C$15=0,0,ROUND(SUMPRODUCT((CÁLCULO!$M$15:$M$44=EVENTOS!$C15)*(ORÇAMENTO!$X$15:'ORÇAMENTO'!$X$44)),2))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IF(AUTOEVENTO="Manual",ROUND(SUMPRODUCT((CÁLCULO!$M$15:$M$44=EVENTOS!$C16)*(OFFSET(CÁLCULO!$AA$15:$AA$44,0,E$13))),2),0)</f>
        <v>0</v>
      </c>
      <c r="F16" s="183">
        <f ca="1">IF(AUTOEVENTO="Manual",ROUND(SUMPRODUCT((CÁLCULO!$M$15:$M$44=EVENTOS!$C16)*(OFFSET(CÁLCULO!$AA$15,0,1):OFFSET(CÁLCULO!$AL$44,0,-1))),2),0)</f>
        <v>0</v>
      </c>
      <c r="G16" s="621" t="str">
        <f t="shared" ref="G16:G47" ca="1" si="5">IF(AND(D16=0,F16&gt;0),"NOME",
 IF(AND(D16&lt;&gt;0,$F$14&gt;0,F16=0),"VALOR",
 IF(AND(Import.TipoArredondamento="TransfereGOV",$A16="F",LEN(D16)&gt;100),"Nome &gt;100","")))</f>
        <v/>
      </c>
      <c r="H16" s="620" cm="1">
        <f t="array" aca="1" ref="H16" ca="1">IF(AUTOEVENTO="Manual",ROUND(SUMPRODUCT((CÁLCULO!$M$15:$M$44=EVENTOS!$C16)*(OFFSET(CÁLCULO!$AA$15:$AA$44,0,H$13))),2),0)</f>
        <v>0</v>
      </c>
      <c r="I16" s="620" cm="1">
        <f t="array" aca="1" ref="I16" ca="1">IF(AUTOEVENTO="Manual",ROUND(SUMPRODUCT((CÁLCULO!$M$15:$M$44=EVENTOS!$C16)*(OFFSET(CÁLCULO!$AA$15:$AA$44,0,I$13))),2),0)</f>
        <v>0</v>
      </c>
      <c r="J16" s="620" cm="1">
        <f t="array" aca="1" ref="J16" ca="1">IF(AUTOEVENTO="Manual",ROUND(SUMPRODUCT((CÁLCULO!$M$15:$M$44=EVENTOS!$C16)*(OFFSET(CÁLCULO!$AA$15:$AA$44,0,J$13))),2),0)</f>
        <v>0</v>
      </c>
      <c r="K16" s="620" cm="1">
        <f t="array" aca="1" ref="K16" ca="1">IF(AUTOEVENTO="Manual",ROUND(SUMPRODUCT((CÁLCULO!$M$15:$M$44=EVENTOS!$C16)*(OFFSET(CÁLCULO!$AA$15:$AA$44,0,K$13))),2),0)</f>
        <v>0</v>
      </c>
      <c r="L16" s="620" cm="1">
        <f t="array" aca="1" ref="L16" ca="1">IF(AUTOEVENTO="Manual",ROUND(SUMPRODUCT((CÁLCULO!$M$15:$M$44=EVENTOS!$C16)*(OFFSET(CÁLCULO!$AA$15:$AA$44,0,L$13))),2),0)</f>
        <v>0</v>
      </c>
      <c r="M16" s="620" cm="1">
        <f t="array" aca="1" ref="M16" ca="1">IF(AUTOEVENTO="Manual",ROUND(SUMPRODUCT((CÁLCULO!$M$15:$M$44=EVENTOS!$C16)*(OFFSET(CÁLCULO!$AA$15:$AA$44,0,M$13))),2),0)</f>
        <v>0</v>
      </c>
      <c r="N16" s="620" cm="1">
        <f t="array" aca="1" ref="N16" ca="1">IF(AUTOEVENTO="Manual",ROUND(SUMPRODUCT((CÁLCULO!$M$15:$M$44=EVENTOS!$C16)*(OFFSET(CÁLCULO!$AA$15:$AA$44,0,N$13))),2),0)</f>
        <v>0</v>
      </c>
      <c r="O16" s="620" cm="1">
        <f t="array" aca="1" ref="O16" ca="1">IF(AUTOEVENTO="Manual",ROUND(SUMPRODUCT((CÁLCULO!$M$15:$M$44=EVENTOS!$C16)*(OFFSET(CÁLCULO!$AA$15:$AA$44,0,O$13))),2),0)</f>
        <v>0</v>
      </c>
      <c r="P16" s="620" cm="1">
        <f t="array" aca="1" ref="P16" ca="1">IF(AUTOEVENTO="Manual",ROUND(SUMPRODUCT((CÁLCULO!$M$15:$M$44=EVENTOS!$C16)*(OFFSET(CÁLCULO!$AA$15:$AA$44,0,P$13))),2),0)</f>
        <v>0</v>
      </c>
      <c r="Q16" s="620" cm="1">
        <f t="array" aca="1" ref="Q16" ca="1">IF(AUTOEVENTO="Manual",ROUND(SUMPRODUCT((CÁLCULO!$M$15:$M$44=EVENTOS!$C16)*(OFFSET(CÁLCULO!$AA$15:$AA$44,0,Q$13))),2),0)</f>
        <v>0</v>
      </c>
      <c r="R16" s="620" cm="1">
        <f t="array" aca="1" ref="R16" ca="1">IF(AUTOEVENTO="Manual",ROUND(SUMPRODUCT((CÁLCULO!$M$15:$M$44=EVENTOS!$C16)*(OFFSET(CÁLCULO!$AA$15:$AA$44,0,R$13))),2),0)</f>
        <v>0</v>
      </c>
      <c r="S16" s="620" cm="1">
        <f t="array" aca="1" ref="S16" ca="1">IF(AUTOEVENTO="Manual",ROUND(SUMPRODUCT((CÁLCULO!$M$15:$M$44=EVENTOS!$C16)*(OFFSET(CÁLCULO!$AA$15:$AA$44,0,S$13))),2),0)</f>
        <v>0</v>
      </c>
      <c r="T16" s="620" cm="1">
        <f t="array" aca="1" ref="T16" ca="1">IF(AUTOEVENTO="Manual",ROUND(SUMPRODUCT((CÁLCULO!$M$15:$M$44=EVENTOS!$C16)*(OFFSET(CÁLCULO!$AA$15:$AA$44,0,T$13))),2),0)</f>
        <v>0</v>
      </c>
      <c r="U16" s="620" cm="1">
        <f t="array" aca="1" ref="U16" ca="1">IF(AUTOEVENTO="Manual",ROUND(SUMPRODUCT((CÁLCULO!$M$15:$M$44=EVENTOS!$C16)*(OFFSET(CÁLCULO!$AA$15:$AA$44,0,U$13))),2),0)</f>
        <v>0</v>
      </c>
      <c r="V16" s="620" cm="1">
        <f t="array" aca="1" ref="V16" ca="1">IF(AUTOEVENTO="Manual",ROUND(SUMPRODUCT((CÁLCULO!$M$15:$M$44=EVENTOS!$C16)*(OFFSET(CÁLCULO!$AA$15:$AA$44,0,V$13))),2),0)</f>
        <v>0</v>
      </c>
      <c r="W16" s="620" cm="1">
        <f t="array" aca="1" ref="W16" ca="1">IF(AUTOEVENTO="Manual",ROUND(SUMPRODUCT((CÁLCULO!$M$15:$M$44=EVENTOS!$C16)*(OFFSET(CÁLCULO!$AA$15:$AA$44,0,W$13))),2),0)</f>
        <v>0</v>
      </c>
      <c r="X16" s="620" cm="1">
        <f t="array" aca="1" ref="X16" ca="1">IF(AUTOEVENTO="Manual",ROUND(SUMPRODUCT((CÁLCULO!$M$15:$M$44=EVENTOS!$C16)*(OFFSET(CÁLCULO!$AA$15:$AA$44,0,X$13))),2),0)</f>
        <v>0</v>
      </c>
      <c r="Y16" s="620" cm="1">
        <f t="array" aca="1" ref="Y16" ca="1">IF(AUTOEVENTO="Manual",ROUND(SUMPRODUCT((CÁLCULO!$M$15:$M$44=EVENTOS!$C16)*(OFFSET(CÁLCULO!$AA$15:$AA$44,0,Y$13))),2),0)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IF(AUTOEVENTO="Manual",ROUND(SUMPRODUCT((CÁLCULO!$M$15:$M$44=EVENTOS!$C17)*(OFFSET(CÁLCULO!$AA$15:$AA$44,0,E$13))),2),0)</f>
        <v>0</v>
      </c>
      <c r="F17" s="183">
        <f ca="1">IF(AUTOEVENTO="Manual",ROUND(SUMPRODUCT((CÁLCULO!$M$15:$M$44=EVENTOS!$C17)*(OFFSET(CÁLCULO!$AA$15,0,1):OFFSET(CÁLCULO!$AL$44,0,-1))),2),0)</f>
        <v>0</v>
      </c>
      <c r="G17" s="621" t="str">
        <f t="shared" ca="1" si="5"/>
        <v/>
      </c>
      <c r="H17" s="620" cm="1">
        <f t="array" aca="1" ref="H17" ca="1">IF(AUTOEVENTO="Manual",ROUND(SUMPRODUCT((CÁLCULO!$M$15:$M$44=EVENTOS!$C17)*(OFFSET(CÁLCULO!$AA$15:$AA$44,0,H$13))),2),0)</f>
        <v>0</v>
      </c>
      <c r="I17" s="620" cm="1">
        <f t="array" aca="1" ref="I17" ca="1">IF(AUTOEVENTO="Manual",ROUND(SUMPRODUCT((CÁLCULO!$M$15:$M$44=EVENTOS!$C17)*(OFFSET(CÁLCULO!$AA$15:$AA$44,0,I$13))),2),0)</f>
        <v>0</v>
      </c>
      <c r="J17" s="620" cm="1">
        <f t="array" aca="1" ref="J17" ca="1">IF(AUTOEVENTO="Manual",ROUND(SUMPRODUCT((CÁLCULO!$M$15:$M$44=EVENTOS!$C17)*(OFFSET(CÁLCULO!$AA$15:$AA$44,0,J$13))),2),0)</f>
        <v>0</v>
      </c>
      <c r="K17" s="620" cm="1">
        <f t="array" aca="1" ref="K17" ca="1">IF(AUTOEVENTO="Manual",ROUND(SUMPRODUCT((CÁLCULO!$M$15:$M$44=EVENTOS!$C17)*(OFFSET(CÁLCULO!$AA$15:$AA$44,0,K$13))),2),0)</f>
        <v>0</v>
      </c>
      <c r="L17" s="620" cm="1">
        <f t="array" aca="1" ref="L17" ca="1">IF(AUTOEVENTO="Manual",ROUND(SUMPRODUCT((CÁLCULO!$M$15:$M$44=EVENTOS!$C17)*(OFFSET(CÁLCULO!$AA$15:$AA$44,0,L$13))),2),0)</f>
        <v>0</v>
      </c>
      <c r="M17" s="620" cm="1">
        <f t="array" aca="1" ref="M17" ca="1">IF(AUTOEVENTO="Manual",ROUND(SUMPRODUCT((CÁLCULO!$M$15:$M$44=EVENTOS!$C17)*(OFFSET(CÁLCULO!$AA$15:$AA$44,0,M$13))),2),0)</f>
        <v>0</v>
      </c>
      <c r="N17" s="620" cm="1">
        <f t="array" aca="1" ref="N17" ca="1">IF(AUTOEVENTO="Manual",ROUND(SUMPRODUCT((CÁLCULO!$M$15:$M$44=EVENTOS!$C17)*(OFFSET(CÁLCULO!$AA$15:$AA$44,0,N$13))),2),0)</f>
        <v>0</v>
      </c>
      <c r="O17" s="620" cm="1">
        <f t="array" aca="1" ref="O17" ca="1">IF(AUTOEVENTO="Manual",ROUND(SUMPRODUCT((CÁLCULO!$M$15:$M$44=EVENTOS!$C17)*(OFFSET(CÁLCULO!$AA$15:$AA$44,0,O$13))),2),0)</f>
        <v>0</v>
      </c>
      <c r="P17" s="620" cm="1">
        <f t="array" aca="1" ref="P17" ca="1">IF(AUTOEVENTO="Manual",ROUND(SUMPRODUCT((CÁLCULO!$M$15:$M$44=EVENTOS!$C17)*(OFFSET(CÁLCULO!$AA$15:$AA$44,0,P$13))),2),0)</f>
        <v>0</v>
      </c>
      <c r="Q17" s="620" cm="1">
        <f t="array" aca="1" ref="Q17" ca="1">IF(AUTOEVENTO="Manual",ROUND(SUMPRODUCT((CÁLCULO!$M$15:$M$44=EVENTOS!$C17)*(OFFSET(CÁLCULO!$AA$15:$AA$44,0,Q$13))),2),0)</f>
        <v>0</v>
      </c>
      <c r="R17" s="620" cm="1">
        <f t="array" aca="1" ref="R17" ca="1">IF(AUTOEVENTO="Manual",ROUND(SUMPRODUCT((CÁLCULO!$M$15:$M$44=EVENTOS!$C17)*(OFFSET(CÁLCULO!$AA$15:$AA$44,0,R$13))),2),0)</f>
        <v>0</v>
      </c>
      <c r="S17" s="620" cm="1">
        <f t="array" aca="1" ref="S17" ca="1">IF(AUTOEVENTO="Manual",ROUND(SUMPRODUCT((CÁLCULO!$M$15:$M$44=EVENTOS!$C17)*(OFFSET(CÁLCULO!$AA$15:$AA$44,0,S$13))),2),0)</f>
        <v>0</v>
      </c>
      <c r="T17" s="620" cm="1">
        <f t="array" aca="1" ref="T17" ca="1">IF(AUTOEVENTO="Manual",ROUND(SUMPRODUCT((CÁLCULO!$M$15:$M$44=EVENTOS!$C17)*(OFFSET(CÁLCULO!$AA$15:$AA$44,0,T$13))),2),0)</f>
        <v>0</v>
      </c>
      <c r="U17" s="620" cm="1">
        <f t="array" aca="1" ref="U17" ca="1">IF(AUTOEVENTO="Manual",ROUND(SUMPRODUCT((CÁLCULO!$M$15:$M$44=EVENTOS!$C17)*(OFFSET(CÁLCULO!$AA$15:$AA$44,0,U$13))),2),0)</f>
        <v>0</v>
      </c>
      <c r="V17" s="620" cm="1">
        <f t="array" aca="1" ref="V17" ca="1">IF(AUTOEVENTO="Manual",ROUND(SUMPRODUCT((CÁLCULO!$M$15:$M$44=EVENTOS!$C17)*(OFFSET(CÁLCULO!$AA$15:$AA$44,0,V$13))),2),0)</f>
        <v>0</v>
      </c>
      <c r="W17" s="620" cm="1">
        <f t="array" aca="1" ref="W17" ca="1">IF(AUTOEVENTO="Manual",ROUND(SUMPRODUCT((CÁLCULO!$M$15:$M$44=EVENTOS!$C17)*(OFFSET(CÁLCULO!$AA$15:$AA$44,0,W$13))),2),0)</f>
        <v>0</v>
      </c>
      <c r="X17" s="620" cm="1">
        <f t="array" aca="1" ref="X17" ca="1">IF(AUTOEVENTO="Manual",ROUND(SUMPRODUCT((CÁLCULO!$M$15:$M$44=EVENTOS!$C17)*(OFFSET(CÁLCULO!$AA$15:$AA$44,0,X$13))),2),0)</f>
        <v>0</v>
      </c>
      <c r="Y17" s="620" cm="1">
        <f t="array" aca="1" ref="Y17" ca="1">IF(AUTOEVENTO="Manual",ROUND(SUMPRODUCT((CÁLCULO!$M$15:$M$44=EVENTOS!$C17)*(OFFSET(CÁLCULO!$AA$15:$AA$44,0,Y$13))),2),0)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IF(AUTOEVENTO="Manual",ROUND(SUMPRODUCT((CÁLCULO!$M$15:$M$44=EVENTOS!$C18)*(OFFSET(CÁLCULO!$AA$15:$AA$44,0,E$13))),2),0)</f>
        <v>0</v>
      </c>
      <c r="F18" s="183">
        <f ca="1">IF(AUTOEVENTO="Manual",ROUND(SUMPRODUCT((CÁLCULO!$M$15:$M$44=EVENTOS!$C18)*(OFFSET(CÁLCULO!$AA$15,0,1):OFFSET(CÁLCULO!$AL$44,0,-1))),2),0)</f>
        <v>0</v>
      </c>
      <c r="G18" s="621" t="str">
        <f t="shared" ca="1" si="5"/>
        <v/>
      </c>
      <c r="H18" s="620" cm="1">
        <f t="array" aca="1" ref="H18" ca="1">IF(AUTOEVENTO="Manual",ROUND(SUMPRODUCT((CÁLCULO!$M$15:$M$44=EVENTOS!$C18)*(OFFSET(CÁLCULO!$AA$15:$AA$44,0,H$13))),2),0)</f>
        <v>0</v>
      </c>
      <c r="I18" s="620" cm="1">
        <f t="array" aca="1" ref="I18" ca="1">IF(AUTOEVENTO="Manual",ROUND(SUMPRODUCT((CÁLCULO!$M$15:$M$44=EVENTOS!$C18)*(OFFSET(CÁLCULO!$AA$15:$AA$44,0,I$13))),2),0)</f>
        <v>0</v>
      </c>
      <c r="J18" s="620" cm="1">
        <f t="array" aca="1" ref="J18" ca="1">IF(AUTOEVENTO="Manual",ROUND(SUMPRODUCT((CÁLCULO!$M$15:$M$44=EVENTOS!$C18)*(OFFSET(CÁLCULO!$AA$15:$AA$44,0,J$13))),2),0)</f>
        <v>0</v>
      </c>
      <c r="K18" s="620" cm="1">
        <f t="array" aca="1" ref="K18" ca="1">IF(AUTOEVENTO="Manual",ROUND(SUMPRODUCT((CÁLCULO!$M$15:$M$44=EVENTOS!$C18)*(OFFSET(CÁLCULO!$AA$15:$AA$44,0,K$13))),2),0)</f>
        <v>0</v>
      </c>
      <c r="L18" s="620" cm="1">
        <f t="array" aca="1" ref="L18" ca="1">IF(AUTOEVENTO="Manual",ROUND(SUMPRODUCT((CÁLCULO!$M$15:$M$44=EVENTOS!$C18)*(OFFSET(CÁLCULO!$AA$15:$AA$44,0,L$13))),2),0)</f>
        <v>0</v>
      </c>
      <c r="M18" s="620" cm="1">
        <f t="array" aca="1" ref="M18" ca="1">IF(AUTOEVENTO="Manual",ROUND(SUMPRODUCT((CÁLCULO!$M$15:$M$44=EVENTOS!$C18)*(OFFSET(CÁLCULO!$AA$15:$AA$44,0,M$13))),2),0)</f>
        <v>0</v>
      </c>
      <c r="N18" s="620" cm="1">
        <f t="array" aca="1" ref="N18" ca="1">IF(AUTOEVENTO="Manual",ROUND(SUMPRODUCT((CÁLCULO!$M$15:$M$44=EVENTOS!$C18)*(OFFSET(CÁLCULO!$AA$15:$AA$44,0,N$13))),2),0)</f>
        <v>0</v>
      </c>
      <c r="O18" s="620" cm="1">
        <f t="array" aca="1" ref="O18" ca="1">IF(AUTOEVENTO="Manual",ROUND(SUMPRODUCT((CÁLCULO!$M$15:$M$44=EVENTOS!$C18)*(OFFSET(CÁLCULO!$AA$15:$AA$44,0,O$13))),2),0)</f>
        <v>0</v>
      </c>
      <c r="P18" s="620" cm="1">
        <f t="array" aca="1" ref="P18" ca="1">IF(AUTOEVENTO="Manual",ROUND(SUMPRODUCT((CÁLCULO!$M$15:$M$44=EVENTOS!$C18)*(OFFSET(CÁLCULO!$AA$15:$AA$44,0,P$13))),2),0)</f>
        <v>0</v>
      </c>
      <c r="Q18" s="620" cm="1">
        <f t="array" aca="1" ref="Q18" ca="1">IF(AUTOEVENTO="Manual",ROUND(SUMPRODUCT((CÁLCULO!$M$15:$M$44=EVENTOS!$C18)*(OFFSET(CÁLCULO!$AA$15:$AA$44,0,Q$13))),2),0)</f>
        <v>0</v>
      </c>
      <c r="R18" s="620" cm="1">
        <f t="array" aca="1" ref="R18" ca="1">IF(AUTOEVENTO="Manual",ROUND(SUMPRODUCT((CÁLCULO!$M$15:$M$44=EVENTOS!$C18)*(OFFSET(CÁLCULO!$AA$15:$AA$44,0,R$13))),2),0)</f>
        <v>0</v>
      </c>
      <c r="S18" s="620" cm="1">
        <f t="array" aca="1" ref="S18" ca="1">IF(AUTOEVENTO="Manual",ROUND(SUMPRODUCT((CÁLCULO!$M$15:$M$44=EVENTOS!$C18)*(OFFSET(CÁLCULO!$AA$15:$AA$44,0,S$13))),2),0)</f>
        <v>0</v>
      </c>
      <c r="T18" s="620" cm="1">
        <f t="array" aca="1" ref="T18" ca="1">IF(AUTOEVENTO="Manual",ROUND(SUMPRODUCT((CÁLCULO!$M$15:$M$44=EVENTOS!$C18)*(OFFSET(CÁLCULO!$AA$15:$AA$44,0,T$13))),2),0)</f>
        <v>0</v>
      </c>
      <c r="U18" s="620" cm="1">
        <f t="array" aca="1" ref="U18" ca="1">IF(AUTOEVENTO="Manual",ROUND(SUMPRODUCT((CÁLCULO!$M$15:$M$44=EVENTOS!$C18)*(OFFSET(CÁLCULO!$AA$15:$AA$44,0,U$13))),2),0)</f>
        <v>0</v>
      </c>
      <c r="V18" s="620" cm="1">
        <f t="array" aca="1" ref="V18" ca="1">IF(AUTOEVENTO="Manual",ROUND(SUMPRODUCT((CÁLCULO!$M$15:$M$44=EVENTOS!$C18)*(OFFSET(CÁLCULO!$AA$15:$AA$44,0,V$13))),2),0)</f>
        <v>0</v>
      </c>
      <c r="W18" s="620" cm="1">
        <f t="array" aca="1" ref="W18" ca="1">IF(AUTOEVENTO="Manual",ROUND(SUMPRODUCT((CÁLCULO!$M$15:$M$44=EVENTOS!$C18)*(OFFSET(CÁLCULO!$AA$15:$AA$44,0,W$13))),2),0)</f>
        <v>0</v>
      </c>
      <c r="X18" s="620" cm="1">
        <f t="array" aca="1" ref="X18" ca="1">IF(AUTOEVENTO="Manual",ROUND(SUMPRODUCT((CÁLCULO!$M$15:$M$44=EVENTOS!$C18)*(OFFSET(CÁLCULO!$AA$15:$AA$44,0,X$13))),2),0)</f>
        <v>0</v>
      </c>
      <c r="Y18" s="620" cm="1">
        <f t="array" aca="1" ref="Y18" ca="1">IF(AUTOEVENTO="Manual",ROUND(SUMPRODUCT((CÁLCULO!$M$15:$M$44=EVENTOS!$C18)*(OFFSET(CÁLCULO!$AA$15:$AA$44,0,Y$13))),2),0)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IF(AUTOEVENTO="Manual",ROUND(SUMPRODUCT((CÁLCULO!$M$15:$M$44=EVENTOS!$C19)*(OFFSET(CÁLCULO!$AA$15:$AA$44,0,E$13))),2),0)</f>
        <v>0</v>
      </c>
      <c r="F19" s="183">
        <f ca="1">IF(AUTOEVENTO="Manual",ROUND(SUMPRODUCT((CÁLCULO!$M$15:$M$44=EVENTOS!$C19)*(OFFSET(CÁLCULO!$AA$15,0,1):OFFSET(CÁLCULO!$AL$44,0,-1))),2),0)</f>
        <v>0</v>
      </c>
      <c r="G19" s="621" t="str">
        <f t="shared" ca="1" si="5"/>
        <v/>
      </c>
      <c r="H19" s="620" cm="1">
        <f t="array" aca="1" ref="H19" ca="1">IF(AUTOEVENTO="Manual",ROUND(SUMPRODUCT((CÁLCULO!$M$15:$M$44=EVENTOS!$C19)*(OFFSET(CÁLCULO!$AA$15:$AA$44,0,H$13))),2),0)</f>
        <v>0</v>
      </c>
      <c r="I19" s="620" cm="1">
        <f t="array" aca="1" ref="I19" ca="1">IF(AUTOEVENTO="Manual",ROUND(SUMPRODUCT((CÁLCULO!$M$15:$M$44=EVENTOS!$C19)*(OFFSET(CÁLCULO!$AA$15:$AA$44,0,I$13))),2),0)</f>
        <v>0</v>
      </c>
      <c r="J19" s="620" cm="1">
        <f t="array" aca="1" ref="J19" ca="1">IF(AUTOEVENTO="Manual",ROUND(SUMPRODUCT((CÁLCULO!$M$15:$M$44=EVENTOS!$C19)*(OFFSET(CÁLCULO!$AA$15:$AA$44,0,J$13))),2),0)</f>
        <v>0</v>
      </c>
      <c r="K19" s="620" cm="1">
        <f t="array" aca="1" ref="K19" ca="1">IF(AUTOEVENTO="Manual",ROUND(SUMPRODUCT((CÁLCULO!$M$15:$M$44=EVENTOS!$C19)*(OFFSET(CÁLCULO!$AA$15:$AA$44,0,K$13))),2),0)</f>
        <v>0</v>
      </c>
      <c r="L19" s="620" cm="1">
        <f t="array" aca="1" ref="L19" ca="1">IF(AUTOEVENTO="Manual",ROUND(SUMPRODUCT((CÁLCULO!$M$15:$M$44=EVENTOS!$C19)*(OFFSET(CÁLCULO!$AA$15:$AA$44,0,L$13))),2),0)</f>
        <v>0</v>
      </c>
      <c r="M19" s="620" cm="1">
        <f t="array" aca="1" ref="M19" ca="1">IF(AUTOEVENTO="Manual",ROUND(SUMPRODUCT((CÁLCULO!$M$15:$M$44=EVENTOS!$C19)*(OFFSET(CÁLCULO!$AA$15:$AA$44,0,M$13))),2),0)</f>
        <v>0</v>
      </c>
      <c r="N19" s="620" cm="1">
        <f t="array" aca="1" ref="N19" ca="1">IF(AUTOEVENTO="Manual",ROUND(SUMPRODUCT((CÁLCULO!$M$15:$M$44=EVENTOS!$C19)*(OFFSET(CÁLCULO!$AA$15:$AA$44,0,N$13))),2),0)</f>
        <v>0</v>
      </c>
      <c r="O19" s="620" cm="1">
        <f t="array" aca="1" ref="O19" ca="1">IF(AUTOEVENTO="Manual",ROUND(SUMPRODUCT((CÁLCULO!$M$15:$M$44=EVENTOS!$C19)*(OFFSET(CÁLCULO!$AA$15:$AA$44,0,O$13))),2),0)</f>
        <v>0</v>
      </c>
      <c r="P19" s="620" cm="1">
        <f t="array" aca="1" ref="P19" ca="1">IF(AUTOEVENTO="Manual",ROUND(SUMPRODUCT((CÁLCULO!$M$15:$M$44=EVENTOS!$C19)*(OFFSET(CÁLCULO!$AA$15:$AA$44,0,P$13))),2),0)</f>
        <v>0</v>
      </c>
      <c r="Q19" s="620" cm="1">
        <f t="array" aca="1" ref="Q19" ca="1">IF(AUTOEVENTO="Manual",ROUND(SUMPRODUCT((CÁLCULO!$M$15:$M$44=EVENTOS!$C19)*(OFFSET(CÁLCULO!$AA$15:$AA$44,0,Q$13))),2),0)</f>
        <v>0</v>
      </c>
      <c r="R19" s="620" cm="1">
        <f t="array" aca="1" ref="R19" ca="1">IF(AUTOEVENTO="Manual",ROUND(SUMPRODUCT((CÁLCULO!$M$15:$M$44=EVENTOS!$C19)*(OFFSET(CÁLCULO!$AA$15:$AA$44,0,R$13))),2),0)</f>
        <v>0</v>
      </c>
      <c r="S19" s="620" cm="1">
        <f t="array" aca="1" ref="S19" ca="1">IF(AUTOEVENTO="Manual",ROUND(SUMPRODUCT((CÁLCULO!$M$15:$M$44=EVENTOS!$C19)*(OFFSET(CÁLCULO!$AA$15:$AA$44,0,S$13))),2),0)</f>
        <v>0</v>
      </c>
      <c r="T19" s="620" cm="1">
        <f t="array" aca="1" ref="T19" ca="1">IF(AUTOEVENTO="Manual",ROUND(SUMPRODUCT((CÁLCULO!$M$15:$M$44=EVENTOS!$C19)*(OFFSET(CÁLCULO!$AA$15:$AA$44,0,T$13))),2),0)</f>
        <v>0</v>
      </c>
      <c r="U19" s="620" cm="1">
        <f t="array" aca="1" ref="U19" ca="1">IF(AUTOEVENTO="Manual",ROUND(SUMPRODUCT((CÁLCULO!$M$15:$M$44=EVENTOS!$C19)*(OFFSET(CÁLCULO!$AA$15:$AA$44,0,U$13))),2),0)</f>
        <v>0</v>
      </c>
      <c r="V19" s="620" cm="1">
        <f t="array" aca="1" ref="V19" ca="1">IF(AUTOEVENTO="Manual",ROUND(SUMPRODUCT((CÁLCULO!$M$15:$M$44=EVENTOS!$C19)*(OFFSET(CÁLCULO!$AA$15:$AA$44,0,V$13))),2),0)</f>
        <v>0</v>
      </c>
      <c r="W19" s="620" cm="1">
        <f t="array" aca="1" ref="W19" ca="1">IF(AUTOEVENTO="Manual",ROUND(SUMPRODUCT((CÁLCULO!$M$15:$M$44=EVENTOS!$C19)*(OFFSET(CÁLCULO!$AA$15:$AA$44,0,W$13))),2),0)</f>
        <v>0</v>
      </c>
      <c r="X19" s="620" cm="1">
        <f t="array" aca="1" ref="X19" ca="1">IF(AUTOEVENTO="Manual",ROUND(SUMPRODUCT((CÁLCULO!$M$15:$M$44=EVENTOS!$C19)*(OFFSET(CÁLCULO!$AA$15:$AA$44,0,X$13))),2),0)</f>
        <v>0</v>
      </c>
      <c r="Y19" s="620" cm="1">
        <f t="array" aca="1" ref="Y19" ca="1">IF(AUTOEVENTO="Manual",ROUND(SUMPRODUCT((CÁLCULO!$M$15:$M$44=EVENTOS!$C19)*(OFFSET(CÁLCULO!$AA$15:$AA$44,0,Y$13))),2),0)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IF(AUTOEVENTO="Manual",ROUND(SUMPRODUCT((CÁLCULO!$M$15:$M$44=EVENTOS!$C20)*(OFFSET(CÁLCULO!$AA$15:$AA$44,0,E$13))),2),0)</f>
        <v>0</v>
      </c>
      <c r="F20" s="183">
        <f ca="1">IF(AUTOEVENTO="Manual",ROUND(SUMPRODUCT((CÁLCULO!$M$15:$M$44=EVENTOS!$C20)*(OFFSET(CÁLCULO!$AA$15,0,1):OFFSET(CÁLCULO!$AL$44,0,-1))),2),0)</f>
        <v>0</v>
      </c>
      <c r="G20" s="621" t="str">
        <f t="shared" ca="1" si="5"/>
        <v/>
      </c>
      <c r="H20" s="620" cm="1">
        <f t="array" aca="1" ref="H20" ca="1">IF(AUTOEVENTO="Manual",ROUND(SUMPRODUCT((CÁLCULO!$M$15:$M$44=EVENTOS!$C20)*(OFFSET(CÁLCULO!$AA$15:$AA$44,0,H$13))),2),0)</f>
        <v>0</v>
      </c>
      <c r="I20" s="620" cm="1">
        <f t="array" aca="1" ref="I20" ca="1">IF(AUTOEVENTO="Manual",ROUND(SUMPRODUCT((CÁLCULO!$M$15:$M$44=EVENTOS!$C20)*(OFFSET(CÁLCULO!$AA$15:$AA$44,0,I$13))),2),0)</f>
        <v>0</v>
      </c>
      <c r="J20" s="620" cm="1">
        <f t="array" aca="1" ref="J20" ca="1">IF(AUTOEVENTO="Manual",ROUND(SUMPRODUCT((CÁLCULO!$M$15:$M$44=EVENTOS!$C20)*(OFFSET(CÁLCULO!$AA$15:$AA$44,0,J$13))),2),0)</f>
        <v>0</v>
      </c>
      <c r="K20" s="620" cm="1">
        <f t="array" aca="1" ref="K20" ca="1">IF(AUTOEVENTO="Manual",ROUND(SUMPRODUCT((CÁLCULO!$M$15:$M$44=EVENTOS!$C20)*(OFFSET(CÁLCULO!$AA$15:$AA$44,0,K$13))),2),0)</f>
        <v>0</v>
      </c>
      <c r="L20" s="620" cm="1">
        <f t="array" aca="1" ref="L20" ca="1">IF(AUTOEVENTO="Manual",ROUND(SUMPRODUCT((CÁLCULO!$M$15:$M$44=EVENTOS!$C20)*(OFFSET(CÁLCULO!$AA$15:$AA$44,0,L$13))),2),0)</f>
        <v>0</v>
      </c>
      <c r="M20" s="620" cm="1">
        <f t="array" aca="1" ref="M20" ca="1">IF(AUTOEVENTO="Manual",ROUND(SUMPRODUCT((CÁLCULO!$M$15:$M$44=EVENTOS!$C20)*(OFFSET(CÁLCULO!$AA$15:$AA$44,0,M$13))),2),0)</f>
        <v>0</v>
      </c>
      <c r="N20" s="620" cm="1">
        <f t="array" aca="1" ref="N20" ca="1">IF(AUTOEVENTO="Manual",ROUND(SUMPRODUCT((CÁLCULO!$M$15:$M$44=EVENTOS!$C20)*(OFFSET(CÁLCULO!$AA$15:$AA$44,0,N$13))),2),0)</f>
        <v>0</v>
      </c>
      <c r="O20" s="620" cm="1">
        <f t="array" aca="1" ref="O20" ca="1">IF(AUTOEVENTO="Manual",ROUND(SUMPRODUCT((CÁLCULO!$M$15:$M$44=EVENTOS!$C20)*(OFFSET(CÁLCULO!$AA$15:$AA$44,0,O$13))),2),0)</f>
        <v>0</v>
      </c>
      <c r="P20" s="620" cm="1">
        <f t="array" aca="1" ref="P20" ca="1">IF(AUTOEVENTO="Manual",ROUND(SUMPRODUCT((CÁLCULO!$M$15:$M$44=EVENTOS!$C20)*(OFFSET(CÁLCULO!$AA$15:$AA$44,0,P$13))),2),0)</f>
        <v>0</v>
      </c>
      <c r="Q20" s="620" cm="1">
        <f t="array" aca="1" ref="Q20" ca="1">IF(AUTOEVENTO="Manual",ROUND(SUMPRODUCT((CÁLCULO!$M$15:$M$44=EVENTOS!$C20)*(OFFSET(CÁLCULO!$AA$15:$AA$44,0,Q$13))),2),0)</f>
        <v>0</v>
      </c>
      <c r="R20" s="620" cm="1">
        <f t="array" aca="1" ref="R20" ca="1">IF(AUTOEVENTO="Manual",ROUND(SUMPRODUCT((CÁLCULO!$M$15:$M$44=EVENTOS!$C20)*(OFFSET(CÁLCULO!$AA$15:$AA$44,0,R$13))),2),0)</f>
        <v>0</v>
      </c>
      <c r="S20" s="620" cm="1">
        <f t="array" aca="1" ref="S20" ca="1">IF(AUTOEVENTO="Manual",ROUND(SUMPRODUCT((CÁLCULO!$M$15:$M$44=EVENTOS!$C20)*(OFFSET(CÁLCULO!$AA$15:$AA$44,0,S$13))),2),0)</f>
        <v>0</v>
      </c>
      <c r="T20" s="620" cm="1">
        <f t="array" aca="1" ref="T20" ca="1">IF(AUTOEVENTO="Manual",ROUND(SUMPRODUCT((CÁLCULO!$M$15:$M$44=EVENTOS!$C20)*(OFFSET(CÁLCULO!$AA$15:$AA$44,0,T$13))),2),0)</f>
        <v>0</v>
      </c>
      <c r="U20" s="620" cm="1">
        <f t="array" aca="1" ref="U20" ca="1">IF(AUTOEVENTO="Manual",ROUND(SUMPRODUCT((CÁLCULO!$M$15:$M$44=EVENTOS!$C20)*(OFFSET(CÁLCULO!$AA$15:$AA$44,0,U$13))),2),0)</f>
        <v>0</v>
      </c>
      <c r="V20" s="620" cm="1">
        <f t="array" aca="1" ref="V20" ca="1">IF(AUTOEVENTO="Manual",ROUND(SUMPRODUCT((CÁLCULO!$M$15:$M$44=EVENTOS!$C20)*(OFFSET(CÁLCULO!$AA$15:$AA$44,0,V$13))),2),0)</f>
        <v>0</v>
      </c>
      <c r="W20" s="620" cm="1">
        <f t="array" aca="1" ref="W20" ca="1">IF(AUTOEVENTO="Manual",ROUND(SUMPRODUCT((CÁLCULO!$M$15:$M$44=EVENTOS!$C20)*(OFFSET(CÁLCULO!$AA$15:$AA$44,0,W$13))),2),0)</f>
        <v>0</v>
      </c>
      <c r="X20" s="620" cm="1">
        <f t="array" aca="1" ref="X20" ca="1">IF(AUTOEVENTO="Manual",ROUND(SUMPRODUCT((CÁLCULO!$M$15:$M$44=EVENTOS!$C20)*(OFFSET(CÁLCULO!$AA$15:$AA$44,0,X$13))),2),0)</f>
        <v>0</v>
      </c>
      <c r="Y20" s="620" cm="1">
        <f t="array" aca="1" ref="Y20" ca="1">IF(AUTOEVENTO="Manual",ROUND(SUMPRODUCT((CÁLCULO!$M$15:$M$44=EVENTOS!$C20)*(OFFSET(CÁLCULO!$AA$15:$AA$44,0,Y$13))),2),0)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IF(AUTOEVENTO="Manual",ROUND(SUMPRODUCT((CÁLCULO!$M$15:$M$44=EVENTOS!$C21)*(OFFSET(CÁLCULO!$AA$15:$AA$44,0,E$13))),2),0)</f>
        <v>0</v>
      </c>
      <c r="F21" s="183">
        <f ca="1">IF(AUTOEVENTO="Manual",ROUND(SUMPRODUCT((CÁLCULO!$M$15:$M$44=EVENTOS!$C21)*(OFFSET(CÁLCULO!$AA$15,0,1):OFFSET(CÁLCULO!$AL$44,0,-1))),2),0)</f>
        <v>0</v>
      </c>
      <c r="G21" s="621" t="str">
        <f t="shared" ca="1" si="5"/>
        <v/>
      </c>
      <c r="H21" s="620" cm="1">
        <f t="array" aca="1" ref="H21" ca="1">IF(AUTOEVENTO="Manual",ROUND(SUMPRODUCT((CÁLCULO!$M$15:$M$44=EVENTOS!$C21)*(OFFSET(CÁLCULO!$AA$15:$AA$44,0,H$13))),2),0)</f>
        <v>0</v>
      </c>
      <c r="I21" s="620" cm="1">
        <f t="array" aca="1" ref="I21" ca="1">IF(AUTOEVENTO="Manual",ROUND(SUMPRODUCT((CÁLCULO!$M$15:$M$44=EVENTOS!$C21)*(OFFSET(CÁLCULO!$AA$15:$AA$44,0,I$13))),2),0)</f>
        <v>0</v>
      </c>
      <c r="J21" s="620" cm="1">
        <f t="array" aca="1" ref="J21" ca="1">IF(AUTOEVENTO="Manual",ROUND(SUMPRODUCT((CÁLCULO!$M$15:$M$44=EVENTOS!$C21)*(OFFSET(CÁLCULO!$AA$15:$AA$44,0,J$13))),2),0)</f>
        <v>0</v>
      </c>
      <c r="K21" s="620" cm="1">
        <f t="array" aca="1" ref="K21" ca="1">IF(AUTOEVENTO="Manual",ROUND(SUMPRODUCT((CÁLCULO!$M$15:$M$44=EVENTOS!$C21)*(OFFSET(CÁLCULO!$AA$15:$AA$44,0,K$13))),2),0)</f>
        <v>0</v>
      </c>
      <c r="L21" s="620" cm="1">
        <f t="array" aca="1" ref="L21" ca="1">IF(AUTOEVENTO="Manual",ROUND(SUMPRODUCT((CÁLCULO!$M$15:$M$44=EVENTOS!$C21)*(OFFSET(CÁLCULO!$AA$15:$AA$44,0,L$13))),2),0)</f>
        <v>0</v>
      </c>
      <c r="M21" s="620" cm="1">
        <f t="array" aca="1" ref="M21" ca="1">IF(AUTOEVENTO="Manual",ROUND(SUMPRODUCT((CÁLCULO!$M$15:$M$44=EVENTOS!$C21)*(OFFSET(CÁLCULO!$AA$15:$AA$44,0,M$13))),2),0)</f>
        <v>0</v>
      </c>
      <c r="N21" s="620" cm="1">
        <f t="array" aca="1" ref="N21" ca="1">IF(AUTOEVENTO="Manual",ROUND(SUMPRODUCT((CÁLCULO!$M$15:$M$44=EVENTOS!$C21)*(OFFSET(CÁLCULO!$AA$15:$AA$44,0,N$13))),2),0)</f>
        <v>0</v>
      </c>
      <c r="O21" s="620" cm="1">
        <f t="array" aca="1" ref="O21" ca="1">IF(AUTOEVENTO="Manual",ROUND(SUMPRODUCT((CÁLCULO!$M$15:$M$44=EVENTOS!$C21)*(OFFSET(CÁLCULO!$AA$15:$AA$44,0,O$13))),2),0)</f>
        <v>0</v>
      </c>
      <c r="P21" s="620" cm="1">
        <f t="array" aca="1" ref="P21" ca="1">IF(AUTOEVENTO="Manual",ROUND(SUMPRODUCT((CÁLCULO!$M$15:$M$44=EVENTOS!$C21)*(OFFSET(CÁLCULO!$AA$15:$AA$44,0,P$13))),2),0)</f>
        <v>0</v>
      </c>
      <c r="Q21" s="620" cm="1">
        <f t="array" aca="1" ref="Q21" ca="1">IF(AUTOEVENTO="Manual",ROUND(SUMPRODUCT((CÁLCULO!$M$15:$M$44=EVENTOS!$C21)*(OFFSET(CÁLCULO!$AA$15:$AA$44,0,Q$13))),2),0)</f>
        <v>0</v>
      </c>
      <c r="R21" s="620" cm="1">
        <f t="array" aca="1" ref="R21" ca="1">IF(AUTOEVENTO="Manual",ROUND(SUMPRODUCT((CÁLCULO!$M$15:$M$44=EVENTOS!$C21)*(OFFSET(CÁLCULO!$AA$15:$AA$44,0,R$13))),2),0)</f>
        <v>0</v>
      </c>
      <c r="S21" s="620" cm="1">
        <f t="array" aca="1" ref="S21" ca="1">IF(AUTOEVENTO="Manual",ROUND(SUMPRODUCT((CÁLCULO!$M$15:$M$44=EVENTOS!$C21)*(OFFSET(CÁLCULO!$AA$15:$AA$44,0,S$13))),2),0)</f>
        <v>0</v>
      </c>
      <c r="T21" s="620" cm="1">
        <f t="array" aca="1" ref="T21" ca="1">IF(AUTOEVENTO="Manual",ROUND(SUMPRODUCT((CÁLCULO!$M$15:$M$44=EVENTOS!$C21)*(OFFSET(CÁLCULO!$AA$15:$AA$44,0,T$13))),2),0)</f>
        <v>0</v>
      </c>
      <c r="U21" s="620" cm="1">
        <f t="array" aca="1" ref="U21" ca="1">IF(AUTOEVENTO="Manual",ROUND(SUMPRODUCT((CÁLCULO!$M$15:$M$44=EVENTOS!$C21)*(OFFSET(CÁLCULO!$AA$15:$AA$44,0,U$13))),2),0)</f>
        <v>0</v>
      </c>
      <c r="V21" s="620" cm="1">
        <f t="array" aca="1" ref="V21" ca="1">IF(AUTOEVENTO="Manual",ROUND(SUMPRODUCT((CÁLCULO!$M$15:$M$44=EVENTOS!$C21)*(OFFSET(CÁLCULO!$AA$15:$AA$44,0,V$13))),2),0)</f>
        <v>0</v>
      </c>
      <c r="W21" s="620" cm="1">
        <f t="array" aca="1" ref="W21" ca="1">IF(AUTOEVENTO="Manual",ROUND(SUMPRODUCT((CÁLCULO!$M$15:$M$44=EVENTOS!$C21)*(OFFSET(CÁLCULO!$AA$15:$AA$44,0,W$13))),2),0)</f>
        <v>0</v>
      </c>
      <c r="X21" s="620" cm="1">
        <f t="array" aca="1" ref="X21" ca="1">IF(AUTOEVENTO="Manual",ROUND(SUMPRODUCT((CÁLCULO!$M$15:$M$44=EVENTOS!$C21)*(OFFSET(CÁLCULO!$AA$15:$AA$44,0,X$13))),2),0)</f>
        <v>0</v>
      </c>
      <c r="Y21" s="620" cm="1">
        <f t="array" aca="1" ref="Y21" ca="1">IF(AUTOEVENTO="Manual",ROUND(SUMPRODUCT((CÁLCULO!$M$15:$M$44=EVENTOS!$C21)*(OFFSET(CÁLCULO!$AA$15:$AA$44,0,Y$13))),2),0)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IF(AUTOEVENTO="Manual",ROUND(SUMPRODUCT((CÁLCULO!$M$15:$M$44=EVENTOS!$C22)*(OFFSET(CÁLCULO!$AA$15:$AA$44,0,E$13))),2),0)</f>
        <v>0</v>
      </c>
      <c r="F22" s="183">
        <f ca="1">IF(AUTOEVENTO="Manual",ROUND(SUMPRODUCT((CÁLCULO!$M$15:$M$44=EVENTOS!$C22)*(OFFSET(CÁLCULO!$AA$15,0,1):OFFSET(CÁLCULO!$AL$44,0,-1))),2),0)</f>
        <v>0</v>
      </c>
      <c r="G22" s="621" t="str">
        <f t="shared" ca="1" si="5"/>
        <v/>
      </c>
      <c r="H22" s="620" cm="1">
        <f t="array" aca="1" ref="H22" ca="1">IF(AUTOEVENTO="Manual",ROUND(SUMPRODUCT((CÁLCULO!$M$15:$M$44=EVENTOS!$C22)*(OFFSET(CÁLCULO!$AA$15:$AA$44,0,H$13))),2),0)</f>
        <v>0</v>
      </c>
      <c r="I22" s="620" cm="1">
        <f t="array" aca="1" ref="I22" ca="1">IF(AUTOEVENTO="Manual",ROUND(SUMPRODUCT((CÁLCULO!$M$15:$M$44=EVENTOS!$C22)*(OFFSET(CÁLCULO!$AA$15:$AA$44,0,I$13))),2),0)</f>
        <v>0</v>
      </c>
      <c r="J22" s="620" cm="1">
        <f t="array" aca="1" ref="J22" ca="1">IF(AUTOEVENTO="Manual",ROUND(SUMPRODUCT((CÁLCULO!$M$15:$M$44=EVENTOS!$C22)*(OFFSET(CÁLCULO!$AA$15:$AA$44,0,J$13))),2),0)</f>
        <v>0</v>
      </c>
      <c r="K22" s="620" cm="1">
        <f t="array" aca="1" ref="K22" ca="1">IF(AUTOEVENTO="Manual",ROUND(SUMPRODUCT((CÁLCULO!$M$15:$M$44=EVENTOS!$C22)*(OFFSET(CÁLCULO!$AA$15:$AA$44,0,K$13))),2),0)</f>
        <v>0</v>
      </c>
      <c r="L22" s="620" cm="1">
        <f t="array" aca="1" ref="L22" ca="1">IF(AUTOEVENTO="Manual",ROUND(SUMPRODUCT((CÁLCULO!$M$15:$M$44=EVENTOS!$C22)*(OFFSET(CÁLCULO!$AA$15:$AA$44,0,L$13))),2),0)</f>
        <v>0</v>
      </c>
      <c r="M22" s="620" cm="1">
        <f t="array" aca="1" ref="M22" ca="1">IF(AUTOEVENTO="Manual",ROUND(SUMPRODUCT((CÁLCULO!$M$15:$M$44=EVENTOS!$C22)*(OFFSET(CÁLCULO!$AA$15:$AA$44,0,M$13))),2),0)</f>
        <v>0</v>
      </c>
      <c r="N22" s="620" cm="1">
        <f t="array" aca="1" ref="N22" ca="1">IF(AUTOEVENTO="Manual",ROUND(SUMPRODUCT((CÁLCULO!$M$15:$M$44=EVENTOS!$C22)*(OFFSET(CÁLCULO!$AA$15:$AA$44,0,N$13))),2),0)</f>
        <v>0</v>
      </c>
      <c r="O22" s="620" cm="1">
        <f t="array" aca="1" ref="O22" ca="1">IF(AUTOEVENTO="Manual",ROUND(SUMPRODUCT((CÁLCULO!$M$15:$M$44=EVENTOS!$C22)*(OFFSET(CÁLCULO!$AA$15:$AA$44,0,O$13))),2),0)</f>
        <v>0</v>
      </c>
      <c r="P22" s="620" cm="1">
        <f t="array" aca="1" ref="P22" ca="1">IF(AUTOEVENTO="Manual",ROUND(SUMPRODUCT((CÁLCULO!$M$15:$M$44=EVENTOS!$C22)*(OFFSET(CÁLCULO!$AA$15:$AA$44,0,P$13))),2),0)</f>
        <v>0</v>
      </c>
      <c r="Q22" s="620" cm="1">
        <f t="array" aca="1" ref="Q22" ca="1">IF(AUTOEVENTO="Manual",ROUND(SUMPRODUCT((CÁLCULO!$M$15:$M$44=EVENTOS!$C22)*(OFFSET(CÁLCULO!$AA$15:$AA$44,0,Q$13))),2),0)</f>
        <v>0</v>
      </c>
      <c r="R22" s="620" cm="1">
        <f t="array" aca="1" ref="R22" ca="1">IF(AUTOEVENTO="Manual",ROUND(SUMPRODUCT((CÁLCULO!$M$15:$M$44=EVENTOS!$C22)*(OFFSET(CÁLCULO!$AA$15:$AA$44,0,R$13))),2),0)</f>
        <v>0</v>
      </c>
      <c r="S22" s="620" cm="1">
        <f t="array" aca="1" ref="S22" ca="1">IF(AUTOEVENTO="Manual",ROUND(SUMPRODUCT((CÁLCULO!$M$15:$M$44=EVENTOS!$C22)*(OFFSET(CÁLCULO!$AA$15:$AA$44,0,S$13))),2),0)</f>
        <v>0</v>
      </c>
      <c r="T22" s="620" cm="1">
        <f t="array" aca="1" ref="T22" ca="1">IF(AUTOEVENTO="Manual",ROUND(SUMPRODUCT((CÁLCULO!$M$15:$M$44=EVENTOS!$C22)*(OFFSET(CÁLCULO!$AA$15:$AA$44,0,T$13))),2),0)</f>
        <v>0</v>
      </c>
      <c r="U22" s="620" cm="1">
        <f t="array" aca="1" ref="U22" ca="1">IF(AUTOEVENTO="Manual",ROUND(SUMPRODUCT((CÁLCULO!$M$15:$M$44=EVENTOS!$C22)*(OFFSET(CÁLCULO!$AA$15:$AA$44,0,U$13))),2),0)</f>
        <v>0</v>
      </c>
      <c r="V22" s="620" cm="1">
        <f t="array" aca="1" ref="V22" ca="1">IF(AUTOEVENTO="Manual",ROUND(SUMPRODUCT((CÁLCULO!$M$15:$M$44=EVENTOS!$C22)*(OFFSET(CÁLCULO!$AA$15:$AA$44,0,V$13))),2),0)</f>
        <v>0</v>
      </c>
      <c r="W22" s="620" cm="1">
        <f t="array" aca="1" ref="W22" ca="1">IF(AUTOEVENTO="Manual",ROUND(SUMPRODUCT((CÁLCULO!$M$15:$M$44=EVENTOS!$C22)*(OFFSET(CÁLCULO!$AA$15:$AA$44,0,W$13))),2),0)</f>
        <v>0</v>
      </c>
      <c r="X22" s="620" cm="1">
        <f t="array" aca="1" ref="X22" ca="1">IF(AUTOEVENTO="Manual",ROUND(SUMPRODUCT((CÁLCULO!$M$15:$M$44=EVENTOS!$C22)*(OFFSET(CÁLCULO!$AA$15:$AA$44,0,X$13))),2),0)</f>
        <v>0</v>
      </c>
      <c r="Y22" s="620" cm="1">
        <f t="array" aca="1" ref="Y22" ca="1">IF(AUTOEVENTO="Manual",ROUND(SUMPRODUCT((CÁLCULO!$M$15:$M$44=EVENTOS!$C22)*(OFFSET(CÁLCULO!$AA$15:$AA$44,0,Y$13))),2),0)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IF(AUTOEVENTO="Manual",ROUND(SUMPRODUCT((CÁLCULO!$M$15:$M$44=EVENTOS!$C23)*(OFFSET(CÁLCULO!$AA$15:$AA$44,0,E$13))),2),0)</f>
        <v>0</v>
      </c>
      <c r="F23" s="183">
        <f ca="1">IF(AUTOEVENTO="Manual",ROUND(SUMPRODUCT((CÁLCULO!$M$15:$M$44=EVENTOS!$C23)*(OFFSET(CÁLCULO!$AA$15,0,1):OFFSET(CÁLCULO!$AL$44,0,-1))),2),0)</f>
        <v>0</v>
      </c>
      <c r="G23" s="621" t="str">
        <f t="shared" ca="1" si="5"/>
        <v/>
      </c>
      <c r="H23" s="620" cm="1">
        <f t="array" aca="1" ref="H23" ca="1">IF(AUTOEVENTO="Manual",ROUND(SUMPRODUCT((CÁLCULO!$M$15:$M$44=EVENTOS!$C23)*(OFFSET(CÁLCULO!$AA$15:$AA$44,0,H$13))),2),0)</f>
        <v>0</v>
      </c>
      <c r="I23" s="620" cm="1">
        <f t="array" aca="1" ref="I23" ca="1">IF(AUTOEVENTO="Manual",ROUND(SUMPRODUCT((CÁLCULO!$M$15:$M$44=EVENTOS!$C23)*(OFFSET(CÁLCULO!$AA$15:$AA$44,0,I$13))),2),0)</f>
        <v>0</v>
      </c>
      <c r="J23" s="620" cm="1">
        <f t="array" aca="1" ref="J23" ca="1">IF(AUTOEVENTO="Manual",ROUND(SUMPRODUCT((CÁLCULO!$M$15:$M$44=EVENTOS!$C23)*(OFFSET(CÁLCULO!$AA$15:$AA$44,0,J$13))),2),0)</f>
        <v>0</v>
      </c>
      <c r="K23" s="620" cm="1">
        <f t="array" aca="1" ref="K23" ca="1">IF(AUTOEVENTO="Manual",ROUND(SUMPRODUCT((CÁLCULO!$M$15:$M$44=EVENTOS!$C23)*(OFFSET(CÁLCULO!$AA$15:$AA$44,0,K$13))),2),0)</f>
        <v>0</v>
      </c>
      <c r="L23" s="620" cm="1">
        <f t="array" aca="1" ref="L23" ca="1">IF(AUTOEVENTO="Manual",ROUND(SUMPRODUCT((CÁLCULO!$M$15:$M$44=EVENTOS!$C23)*(OFFSET(CÁLCULO!$AA$15:$AA$44,0,L$13))),2),0)</f>
        <v>0</v>
      </c>
      <c r="M23" s="620" cm="1">
        <f t="array" aca="1" ref="M23" ca="1">IF(AUTOEVENTO="Manual",ROUND(SUMPRODUCT((CÁLCULO!$M$15:$M$44=EVENTOS!$C23)*(OFFSET(CÁLCULO!$AA$15:$AA$44,0,M$13))),2),0)</f>
        <v>0</v>
      </c>
      <c r="N23" s="620" cm="1">
        <f t="array" aca="1" ref="N23" ca="1">IF(AUTOEVENTO="Manual",ROUND(SUMPRODUCT((CÁLCULO!$M$15:$M$44=EVENTOS!$C23)*(OFFSET(CÁLCULO!$AA$15:$AA$44,0,N$13))),2),0)</f>
        <v>0</v>
      </c>
      <c r="O23" s="620" cm="1">
        <f t="array" aca="1" ref="O23" ca="1">IF(AUTOEVENTO="Manual",ROUND(SUMPRODUCT((CÁLCULO!$M$15:$M$44=EVENTOS!$C23)*(OFFSET(CÁLCULO!$AA$15:$AA$44,0,O$13))),2),0)</f>
        <v>0</v>
      </c>
      <c r="P23" s="620" cm="1">
        <f t="array" aca="1" ref="P23" ca="1">IF(AUTOEVENTO="Manual",ROUND(SUMPRODUCT((CÁLCULO!$M$15:$M$44=EVENTOS!$C23)*(OFFSET(CÁLCULO!$AA$15:$AA$44,0,P$13))),2),0)</f>
        <v>0</v>
      </c>
      <c r="Q23" s="620" cm="1">
        <f t="array" aca="1" ref="Q23" ca="1">IF(AUTOEVENTO="Manual",ROUND(SUMPRODUCT((CÁLCULO!$M$15:$M$44=EVENTOS!$C23)*(OFFSET(CÁLCULO!$AA$15:$AA$44,0,Q$13))),2),0)</f>
        <v>0</v>
      </c>
      <c r="R23" s="620" cm="1">
        <f t="array" aca="1" ref="R23" ca="1">IF(AUTOEVENTO="Manual",ROUND(SUMPRODUCT((CÁLCULO!$M$15:$M$44=EVENTOS!$C23)*(OFFSET(CÁLCULO!$AA$15:$AA$44,0,R$13))),2),0)</f>
        <v>0</v>
      </c>
      <c r="S23" s="620" cm="1">
        <f t="array" aca="1" ref="S23" ca="1">IF(AUTOEVENTO="Manual",ROUND(SUMPRODUCT((CÁLCULO!$M$15:$M$44=EVENTOS!$C23)*(OFFSET(CÁLCULO!$AA$15:$AA$44,0,S$13))),2),0)</f>
        <v>0</v>
      </c>
      <c r="T23" s="620" cm="1">
        <f t="array" aca="1" ref="T23" ca="1">IF(AUTOEVENTO="Manual",ROUND(SUMPRODUCT((CÁLCULO!$M$15:$M$44=EVENTOS!$C23)*(OFFSET(CÁLCULO!$AA$15:$AA$44,0,T$13))),2),0)</f>
        <v>0</v>
      </c>
      <c r="U23" s="620" cm="1">
        <f t="array" aca="1" ref="U23" ca="1">IF(AUTOEVENTO="Manual",ROUND(SUMPRODUCT((CÁLCULO!$M$15:$M$44=EVENTOS!$C23)*(OFFSET(CÁLCULO!$AA$15:$AA$44,0,U$13))),2),0)</f>
        <v>0</v>
      </c>
      <c r="V23" s="620" cm="1">
        <f t="array" aca="1" ref="V23" ca="1">IF(AUTOEVENTO="Manual",ROUND(SUMPRODUCT((CÁLCULO!$M$15:$M$44=EVENTOS!$C23)*(OFFSET(CÁLCULO!$AA$15:$AA$44,0,V$13))),2),0)</f>
        <v>0</v>
      </c>
      <c r="W23" s="620" cm="1">
        <f t="array" aca="1" ref="W23" ca="1">IF(AUTOEVENTO="Manual",ROUND(SUMPRODUCT((CÁLCULO!$M$15:$M$44=EVENTOS!$C23)*(OFFSET(CÁLCULO!$AA$15:$AA$44,0,W$13))),2),0)</f>
        <v>0</v>
      </c>
      <c r="X23" s="620" cm="1">
        <f t="array" aca="1" ref="X23" ca="1">IF(AUTOEVENTO="Manual",ROUND(SUMPRODUCT((CÁLCULO!$M$15:$M$44=EVENTOS!$C23)*(OFFSET(CÁLCULO!$AA$15:$AA$44,0,X$13))),2),0)</f>
        <v>0</v>
      </c>
      <c r="Y23" s="620" cm="1">
        <f t="array" aca="1" ref="Y23" ca="1">IF(AUTOEVENTO="Manual",ROUND(SUMPRODUCT((CÁLCULO!$M$15:$M$44=EVENTOS!$C23)*(OFFSET(CÁLCULO!$AA$15:$AA$44,0,Y$13))),2),0)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IF(AUTOEVENTO="Manual",ROUND(SUMPRODUCT((CÁLCULO!$M$15:$M$44=EVENTOS!$C24)*(OFFSET(CÁLCULO!$AA$15:$AA$44,0,E$13))),2),0)</f>
        <v>0</v>
      </c>
      <c r="F24" s="183">
        <f ca="1">IF(AUTOEVENTO="Manual",ROUND(SUMPRODUCT((CÁLCULO!$M$15:$M$44=EVENTOS!$C24)*(OFFSET(CÁLCULO!$AA$15,0,1):OFFSET(CÁLCULO!$AL$44,0,-1))),2),0)</f>
        <v>0</v>
      </c>
      <c r="G24" s="621" t="str">
        <f t="shared" ca="1" si="5"/>
        <v/>
      </c>
      <c r="H24" s="620" cm="1">
        <f t="array" aca="1" ref="H24" ca="1">IF(AUTOEVENTO="Manual",ROUND(SUMPRODUCT((CÁLCULO!$M$15:$M$44=EVENTOS!$C24)*(OFFSET(CÁLCULO!$AA$15:$AA$44,0,H$13))),2),0)</f>
        <v>0</v>
      </c>
      <c r="I24" s="620" cm="1">
        <f t="array" aca="1" ref="I24" ca="1">IF(AUTOEVENTO="Manual",ROUND(SUMPRODUCT((CÁLCULO!$M$15:$M$44=EVENTOS!$C24)*(OFFSET(CÁLCULO!$AA$15:$AA$44,0,I$13))),2),0)</f>
        <v>0</v>
      </c>
      <c r="J24" s="620" cm="1">
        <f t="array" aca="1" ref="J24" ca="1">IF(AUTOEVENTO="Manual",ROUND(SUMPRODUCT((CÁLCULO!$M$15:$M$44=EVENTOS!$C24)*(OFFSET(CÁLCULO!$AA$15:$AA$44,0,J$13))),2),0)</f>
        <v>0</v>
      </c>
      <c r="K24" s="620" cm="1">
        <f t="array" aca="1" ref="K24" ca="1">IF(AUTOEVENTO="Manual",ROUND(SUMPRODUCT((CÁLCULO!$M$15:$M$44=EVENTOS!$C24)*(OFFSET(CÁLCULO!$AA$15:$AA$44,0,K$13))),2),0)</f>
        <v>0</v>
      </c>
      <c r="L24" s="620" cm="1">
        <f t="array" aca="1" ref="L24" ca="1">IF(AUTOEVENTO="Manual",ROUND(SUMPRODUCT((CÁLCULO!$M$15:$M$44=EVENTOS!$C24)*(OFFSET(CÁLCULO!$AA$15:$AA$44,0,L$13))),2),0)</f>
        <v>0</v>
      </c>
      <c r="M24" s="620" cm="1">
        <f t="array" aca="1" ref="M24" ca="1">IF(AUTOEVENTO="Manual",ROUND(SUMPRODUCT((CÁLCULO!$M$15:$M$44=EVENTOS!$C24)*(OFFSET(CÁLCULO!$AA$15:$AA$44,0,M$13))),2),0)</f>
        <v>0</v>
      </c>
      <c r="N24" s="620" cm="1">
        <f t="array" aca="1" ref="N24" ca="1">IF(AUTOEVENTO="Manual",ROUND(SUMPRODUCT((CÁLCULO!$M$15:$M$44=EVENTOS!$C24)*(OFFSET(CÁLCULO!$AA$15:$AA$44,0,N$13))),2),0)</f>
        <v>0</v>
      </c>
      <c r="O24" s="620" cm="1">
        <f t="array" aca="1" ref="O24" ca="1">IF(AUTOEVENTO="Manual",ROUND(SUMPRODUCT((CÁLCULO!$M$15:$M$44=EVENTOS!$C24)*(OFFSET(CÁLCULO!$AA$15:$AA$44,0,O$13))),2),0)</f>
        <v>0</v>
      </c>
      <c r="P24" s="620" cm="1">
        <f t="array" aca="1" ref="P24" ca="1">IF(AUTOEVENTO="Manual",ROUND(SUMPRODUCT((CÁLCULO!$M$15:$M$44=EVENTOS!$C24)*(OFFSET(CÁLCULO!$AA$15:$AA$44,0,P$13))),2),0)</f>
        <v>0</v>
      </c>
      <c r="Q24" s="620" cm="1">
        <f t="array" aca="1" ref="Q24" ca="1">IF(AUTOEVENTO="Manual",ROUND(SUMPRODUCT((CÁLCULO!$M$15:$M$44=EVENTOS!$C24)*(OFFSET(CÁLCULO!$AA$15:$AA$44,0,Q$13))),2),0)</f>
        <v>0</v>
      </c>
      <c r="R24" s="620" cm="1">
        <f t="array" aca="1" ref="R24" ca="1">IF(AUTOEVENTO="Manual",ROUND(SUMPRODUCT((CÁLCULO!$M$15:$M$44=EVENTOS!$C24)*(OFFSET(CÁLCULO!$AA$15:$AA$44,0,R$13))),2),0)</f>
        <v>0</v>
      </c>
      <c r="S24" s="620" cm="1">
        <f t="array" aca="1" ref="S24" ca="1">IF(AUTOEVENTO="Manual",ROUND(SUMPRODUCT((CÁLCULO!$M$15:$M$44=EVENTOS!$C24)*(OFFSET(CÁLCULO!$AA$15:$AA$44,0,S$13))),2),0)</f>
        <v>0</v>
      </c>
      <c r="T24" s="620" cm="1">
        <f t="array" aca="1" ref="T24" ca="1">IF(AUTOEVENTO="Manual",ROUND(SUMPRODUCT((CÁLCULO!$M$15:$M$44=EVENTOS!$C24)*(OFFSET(CÁLCULO!$AA$15:$AA$44,0,T$13))),2),0)</f>
        <v>0</v>
      </c>
      <c r="U24" s="620" cm="1">
        <f t="array" aca="1" ref="U24" ca="1">IF(AUTOEVENTO="Manual",ROUND(SUMPRODUCT((CÁLCULO!$M$15:$M$44=EVENTOS!$C24)*(OFFSET(CÁLCULO!$AA$15:$AA$44,0,U$13))),2),0)</f>
        <v>0</v>
      </c>
      <c r="V24" s="620" cm="1">
        <f t="array" aca="1" ref="V24" ca="1">IF(AUTOEVENTO="Manual",ROUND(SUMPRODUCT((CÁLCULO!$M$15:$M$44=EVENTOS!$C24)*(OFFSET(CÁLCULO!$AA$15:$AA$44,0,V$13))),2),0)</f>
        <v>0</v>
      </c>
      <c r="W24" s="620" cm="1">
        <f t="array" aca="1" ref="W24" ca="1">IF(AUTOEVENTO="Manual",ROUND(SUMPRODUCT((CÁLCULO!$M$15:$M$44=EVENTOS!$C24)*(OFFSET(CÁLCULO!$AA$15:$AA$44,0,W$13))),2),0)</f>
        <v>0</v>
      </c>
      <c r="X24" s="620" cm="1">
        <f t="array" aca="1" ref="X24" ca="1">IF(AUTOEVENTO="Manual",ROUND(SUMPRODUCT((CÁLCULO!$M$15:$M$44=EVENTOS!$C24)*(OFFSET(CÁLCULO!$AA$15:$AA$44,0,X$13))),2),0)</f>
        <v>0</v>
      </c>
      <c r="Y24" s="620" cm="1">
        <f t="array" aca="1" ref="Y24" ca="1">IF(AUTOEVENTO="Manual",ROUND(SUMPRODUCT((CÁLCULO!$M$15:$M$44=EVENTOS!$C24)*(OFFSET(CÁLCULO!$AA$15:$AA$44,0,Y$13))),2),0)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IF(AUTOEVENTO="Manual",ROUND(SUMPRODUCT((CÁLCULO!$M$15:$M$44=EVENTOS!$C25)*(OFFSET(CÁLCULO!$AA$15:$AA$44,0,E$13))),2),0)</f>
        <v>0</v>
      </c>
      <c r="F25" s="183">
        <f ca="1">IF(AUTOEVENTO="Manual",ROUND(SUMPRODUCT((CÁLCULO!$M$15:$M$44=EVENTOS!$C25)*(OFFSET(CÁLCULO!$AA$15,0,1):OFFSET(CÁLCULO!$AL$44,0,-1))),2),0)</f>
        <v>0</v>
      </c>
      <c r="G25" s="621" t="str">
        <f t="shared" ca="1" si="5"/>
        <v/>
      </c>
      <c r="H25" s="620" cm="1">
        <f t="array" aca="1" ref="H25" ca="1">IF(AUTOEVENTO="Manual",ROUND(SUMPRODUCT((CÁLCULO!$M$15:$M$44=EVENTOS!$C25)*(OFFSET(CÁLCULO!$AA$15:$AA$44,0,H$13))),2),0)</f>
        <v>0</v>
      </c>
      <c r="I25" s="620" cm="1">
        <f t="array" aca="1" ref="I25" ca="1">IF(AUTOEVENTO="Manual",ROUND(SUMPRODUCT((CÁLCULO!$M$15:$M$44=EVENTOS!$C25)*(OFFSET(CÁLCULO!$AA$15:$AA$44,0,I$13))),2),0)</f>
        <v>0</v>
      </c>
      <c r="J25" s="620" cm="1">
        <f t="array" aca="1" ref="J25" ca="1">IF(AUTOEVENTO="Manual",ROUND(SUMPRODUCT((CÁLCULO!$M$15:$M$44=EVENTOS!$C25)*(OFFSET(CÁLCULO!$AA$15:$AA$44,0,J$13))),2),0)</f>
        <v>0</v>
      </c>
      <c r="K25" s="620" cm="1">
        <f t="array" aca="1" ref="K25" ca="1">IF(AUTOEVENTO="Manual",ROUND(SUMPRODUCT((CÁLCULO!$M$15:$M$44=EVENTOS!$C25)*(OFFSET(CÁLCULO!$AA$15:$AA$44,0,K$13))),2),0)</f>
        <v>0</v>
      </c>
      <c r="L25" s="620" cm="1">
        <f t="array" aca="1" ref="L25" ca="1">IF(AUTOEVENTO="Manual",ROUND(SUMPRODUCT((CÁLCULO!$M$15:$M$44=EVENTOS!$C25)*(OFFSET(CÁLCULO!$AA$15:$AA$44,0,L$13))),2),0)</f>
        <v>0</v>
      </c>
      <c r="M25" s="620" cm="1">
        <f t="array" aca="1" ref="M25" ca="1">IF(AUTOEVENTO="Manual",ROUND(SUMPRODUCT((CÁLCULO!$M$15:$M$44=EVENTOS!$C25)*(OFFSET(CÁLCULO!$AA$15:$AA$44,0,M$13))),2),0)</f>
        <v>0</v>
      </c>
      <c r="N25" s="620" cm="1">
        <f t="array" aca="1" ref="N25" ca="1">IF(AUTOEVENTO="Manual",ROUND(SUMPRODUCT((CÁLCULO!$M$15:$M$44=EVENTOS!$C25)*(OFFSET(CÁLCULO!$AA$15:$AA$44,0,N$13))),2),0)</f>
        <v>0</v>
      </c>
      <c r="O25" s="620" cm="1">
        <f t="array" aca="1" ref="O25" ca="1">IF(AUTOEVENTO="Manual",ROUND(SUMPRODUCT((CÁLCULO!$M$15:$M$44=EVENTOS!$C25)*(OFFSET(CÁLCULO!$AA$15:$AA$44,0,O$13))),2),0)</f>
        <v>0</v>
      </c>
      <c r="P25" s="620" cm="1">
        <f t="array" aca="1" ref="P25" ca="1">IF(AUTOEVENTO="Manual",ROUND(SUMPRODUCT((CÁLCULO!$M$15:$M$44=EVENTOS!$C25)*(OFFSET(CÁLCULO!$AA$15:$AA$44,0,P$13))),2),0)</f>
        <v>0</v>
      </c>
      <c r="Q25" s="620" cm="1">
        <f t="array" aca="1" ref="Q25" ca="1">IF(AUTOEVENTO="Manual",ROUND(SUMPRODUCT((CÁLCULO!$M$15:$M$44=EVENTOS!$C25)*(OFFSET(CÁLCULO!$AA$15:$AA$44,0,Q$13))),2),0)</f>
        <v>0</v>
      </c>
      <c r="R25" s="620" cm="1">
        <f t="array" aca="1" ref="R25" ca="1">IF(AUTOEVENTO="Manual",ROUND(SUMPRODUCT((CÁLCULO!$M$15:$M$44=EVENTOS!$C25)*(OFFSET(CÁLCULO!$AA$15:$AA$44,0,R$13))),2),0)</f>
        <v>0</v>
      </c>
      <c r="S25" s="620" cm="1">
        <f t="array" aca="1" ref="S25" ca="1">IF(AUTOEVENTO="Manual",ROUND(SUMPRODUCT((CÁLCULO!$M$15:$M$44=EVENTOS!$C25)*(OFFSET(CÁLCULO!$AA$15:$AA$44,0,S$13))),2),0)</f>
        <v>0</v>
      </c>
      <c r="T25" s="620" cm="1">
        <f t="array" aca="1" ref="T25" ca="1">IF(AUTOEVENTO="Manual",ROUND(SUMPRODUCT((CÁLCULO!$M$15:$M$44=EVENTOS!$C25)*(OFFSET(CÁLCULO!$AA$15:$AA$44,0,T$13))),2),0)</f>
        <v>0</v>
      </c>
      <c r="U25" s="620" cm="1">
        <f t="array" aca="1" ref="U25" ca="1">IF(AUTOEVENTO="Manual",ROUND(SUMPRODUCT((CÁLCULO!$M$15:$M$44=EVENTOS!$C25)*(OFFSET(CÁLCULO!$AA$15:$AA$44,0,U$13))),2),0)</f>
        <v>0</v>
      </c>
      <c r="V25" s="620" cm="1">
        <f t="array" aca="1" ref="V25" ca="1">IF(AUTOEVENTO="Manual",ROUND(SUMPRODUCT((CÁLCULO!$M$15:$M$44=EVENTOS!$C25)*(OFFSET(CÁLCULO!$AA$15:$AA$44,0,V$13))),2),0)</f>
        <v>0</v>
      </c>
      <c r="W25" s="620" cm="1">
        <f t="array" aca="1" ref="W25" ca="1">IF(AUTOEVENTO="Manual",ROUND(SUMPRODUCT((CÁLCULO!$M$15:$M$44=EVENTOS!$C25)*(OFFSET(CÁLCULO!$AA$15:$AA$44,0,W$13))),2),0)</f>
        <v>0</v>
      </c>
      <c r="X25" s="620" cm="1">
        <f t="array" aca="1" ref="X25" ca="1">IF(AUTOEVENTO="Manual",ROUND(SUMPRODUCT((CÁLCULO!$M$15:$M$44=EVENTOS!$C25)*(OFFSET(CÁLCULO!$AA$15:$AA$44,0,X$13))),2),0)</f>
        <v>0</v>
      </c>
      <c r="Y25" s="620" cm="1">
        <f t="array" aca="1" ref="Y25" ca="1">IF(AUTOEVENTO="Manual",ROUND(SUMPRODUCT((CÁLCULO!$M$15:$M$44=EVENTOS!$C25)*(OFFSET(CÁLCULO!$AA$15:$AA$44,0,Y$13))),2),0)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IF(AUTOEVENTO="Manual",ROUND(SUMPRODUCT((CÁLCULO!$M$15:$M$44=EVENTOS!$C26)*(OFFSET(CÁLCULO!$AA$15:$AA$44,0,E$13))),2),0)</f>
        <v>0</v>
      </c>
      <c r="F26" s="183">
        <f ca="1">IF(AUTOEVENTO="Manual",ROUND(SUMPRODUCT((CÁLCULO!$M$15:$M$44=EVENTOS!$C26)*(OFFSET(CÁLCULO!$AA$15,0,1):OFFSET(CÁLCULO!$AL$44,0,-1))),2),0)</f>
        <v>0</v>
      </c>
      <c r="G26" s="621" t="str">
        <f t="shared" ca="1" si="5"/>
        <v/>
      </c>
      <c r="H26" s="620" cm="1">
        <f t="array" aca="1" ref="H26" ca="1">IF(AUTOEVENTO="Manual",ROUND(SUMPRODUCT((CÁLCULO!$M$15:$M$44=EVENTOS!$C26)*(OFFSET(CÁLCULO!$AA$15:$AA$44,0,H$13))),2),0)</f>
        <v>0</v>
      </c>
      <c r="I26" s="620" cm="1">
        <f t="array" aca="1" ref="I26" ca="1">IF(AUTOEVENTO="Manual",ROUND(SUMPRODUCT((CÁLCULO!$M$15:$M$44=EVENTOS!$C26)*(OFFSET(CÁLCULO!$AA$15:$AA$44,0,I$13))),2),0)</f>
        <v>0</v>
      </c>
      <c r="J26" s="620" cm="1">
        <f t="array" aca="1" ref="J26" ca="1">IF(AUTOEVENTO="Manual",ROUND(SUMPRODUCT((CÁLCULO!$M$15:$M$44=EVENTOS!$C26)*(OFFSET(CÁLCULO!$AA$15:$AA$44,0,J$13))),2),0)</f>
        <v>0</v>
      </c>
      <c r="K26" s="620" cm="1">
        <f t="array" aca="1" ref="K26" ca="1">IF(AUTOEVENTO="Manual",ROUND(SUMPRODUCT((CÁLCULO!$M$15:$M$44=EVENTOS!$C26)*(OFFSET(CÁLCULO!$AA$15:$AA$44,0,K$13))),2),0)</f>
        <v>0</v>
      </c>
      <c r="L26" s="620" cm="1">
        <f t="array" aca="1" ref="L26" ca="1">IF(AUTOEVENTO="Manual",ROUND(SUMPRODUCT((CÁLCULO!$M$15:$M$44=EVENTOS!$C26)*(OFFSET(CÁLCULO!$AA$15:$AA$44,0,L$13))),2),0)</f>
        <v>0</v>
      </c>
      <c r="M26" s="620" cm="1">
        <f t="array" aca="1" ref="M26" ca="1">IF(AUTOEVENTO="Manual",ROUND(SUMPRODUCT((CÁLCULO!$M$15:$M$44=EVENTOS!$C26)*(OFFSET(CÁLCULO!$AA$15:$AA$44,0,M$13))),2),0)</f>
        <v>0</v>
      </c>
      <c r="N26" s="620" cm="1">
        <f t="array" aca="1" ref="N26" ca="1">IF(AUTOEVENTO="Manual",ROUND(SUMPRODUCT((CÁLCULO!$M$15:$M$44=EVENTOS!$C26)*(OFFSET(CÁLCULO!$AA$15:$AA$44,0,N$13))),2),0)</f>
        <v>0</v>
      </c>
      <c r="O26" s="620" cm="1">
        <f t="array" aca="1" ref="O26" ca="1">IF(AUTOEVENTO="Manual",ROUND(SUMPRODUCT((CÁLCULO!$M$15:$M$44=EVENTOS!$C26)*(OFFSET(CÁLCULO!$AA$15:$AA$44,0,O$13))),2),0)</f>
        <v>0</v>
      </c>
      <c r="P26" s="620" cm="1">
        <f t="array" aca="1" ref="P26" ca="1">IF(AUTOEVENTO="Manual",ROUND(SUMPRODUCT((CÁLCULO!$M$15:$M$44=EVENTOS!$C26)*(OFFSET(CÁLCULO!$AA$15:$AA$44,0,P$13))),2),0)</f>
        <v>0</v>
      </c>
      <c r="Q26" s="620" cm="1">
        <f t="array" aca="1" ref="Q26" ca="1">IF(AUTOEVENTO="Manual",ROUND(SUMPRODUCT((CÁLCULO!$M$15:$M$44=EVENTOS!$C26)*(OFFSET(CÁLCULO!$AA$15:$AA$44,0,Q$13))),2),0)</f>
        <v>0</v>
      </c>
      <c r="R26" s="620" cm="1">
        <f t="array" aca="1" ref="R26" ca="1">IF(AUTOEVENTO="Manual",ROUND(SUMPRODUCT((CÁLCULO!$M$15:$M$44=EVENTOS!$C26)*(OFFSET(CÁLCULO!$AA$15:$AA$44,0,R$13))),2),0)</f>
        <v>0</v>
      </c>
      <c r="S26" s="620" cm="1">
        <f t="array" aca="1" ref="S26" ca="1">IF(AUTOEVENTO="Manual",ROUND(SUMPRODUCT((CÁLCULO!$M$15:$M$44=EVENTOS!$C26)*(OFFSET(CÁLCULO!$AA$15:$AA$44,0,S$13))),2),0)</f>
        <v>0</v>
      </c>
      <c r="T26" s="620" cm="1">
        <f t="array" aca="1" ref="T26" ca="1">IF(AUTOEVENTO="Manual",ROUND(SUMPRODUCT((CÁLCULO!$M$15:$M$44=EVENTOS!$C26)*(OFFSET(CÁLCULO!$AA$15:$AA$44,0,T$13))),2),0)</f>
        <v>0</v>
      </c>
      <c r="U26" s="620" cm="1">
        <f t="array" aca="1" ref="U26" ca="1">IF(AUTOEVENTO="Manual",ROUND(SUMPRODUCT((CÁLCULO!$M$15:$M$44=EVENTOS!$C26)*(OFFSET(CÁLCULO!$AA$15:$AA$44,0,U$13))),2),0)</f>
        <v>0</v>
      </c>
      <c r="V26" s="620" cm="1">
        <f t="array" aca="1" ref="V26" ca="1">IF(AUTOEVENTO="Manual",ROUND(SUMPRODUCT((CÁLCULO!$M$15:$M$44=EVENTOS!$C26)*(OFFSET(CÁLCULO!$AA$15:$AA$44,0,V$13))),2),0)</f>
        <v>0</v>
      </c>
      <c r="W26" s="620" cm="1">
        <f t="array" aca="1" ref="W26" ca="1">IF(AUTOEVENTO="Manual",ROUND(SUMPRODUCT((CÁLCULO!$M$15:$M$44=EVENTOS!$C26)*(OFFSET(CÁLCULO!$AA$15:$AA$44,0,W$13))),2),0)</f>
        <v>0</v>
      </c>
      <c r="X26" s="620" cm="1">
        <f t="array" aca="1" ref="X26" ca="1">IF(AUTOEVENTO="Manual",ROUND(SUMPRODUCT((CÁLCULO!$M$15:$M$44=EVENTOS!$C26)*(OFFSET(CÁLCULO!$AA$15:$AA$44,0,X$13))),2),0)</f>
        <v>0</v>
      </c>
      <c r="Y26" s="620" cm="1">
        <f t="array" aca="1" ref="Y26" ca="1">IF(AUTOEVENTO="Manual",ROUND(SUMPRODUCT((CÁLCULO!$M$15:$M$44=EVENTOS!$C26)*(OFFSET(CÁLCULO!$AA$15:$AA$44,0,Y$13))),2),0)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IF(AUTOEVENTO="Manual",ROUND(SUMPRODUCT((CÁLCULO!$M$15:$M$44=EVENTOS!$C27)*(OFFSET(CÁLCULO!$AA$15:$AA$44,0,E$13))),2),0)</f>
        <v>0</v>
      </c>
      <c r="F27" s="183">
        <f ca="1">IF(AUTOEVENTO="Manual",ROUND(SUMPRODUCT((CÁLCULO!$M$15:$M$44=EVENTOS!$C27)*(OFFSET(CÁLCULO!$AA$15,0,1):OFFSET(CÁLCULO!$AL$44,0,-1))),2),0)</f>
        <v>0</v>
      </c>
      <c r="G27" s="621" t="str">
        <f t="shared" ca="1" si="5"/>
        <v/>
      </c>
      <c r="H27" s="620" cm="1">
        <f t="array" aca="1" ref="H27" ca="1">IF(AUTOEVENTO="Manual",ROUND(SUMPRODUCT((CÁLCULO!$M$15:$M$44=EVENTOS!$C27)*(OFFSET(CÁLCULO!$AA$15:$AA$44,0,H$13))),2),0)</f>
        <v>0</v>
      </c>
      <c r="I27" s="620" cm="1">
        <f t="array" aca="1" ref="I27" ca="1">IF(AUTOEVENTO="Manual",ROUND(SUMPRODUCT((CÁLCULO!$M$15:$M$44=EVENTOS!$C27)*(OFFSET(CÁLCULO!$AA$15:$AA$44,0,I$13))),2),0)</f>
        <v>0</v>
      </c>
      <c r="J27" s="620" cm="1">
        <f t="array" aca="1" ref="J27" ca="1">IF(AUTOEVENTO="Manual",ROUND(SUMPRODUCT((CÁLCULO!$M$15:$M$44=EVENTOS!$C27)*(OFFSET(CÁLCULO!$AA$15:$AA$44,0,J$13))),2),0)</f>
        <v>0</v>
      </c>
      <c r="K27" s="620" cm="1">
        <f t="array" aca="1" ref="K27" ca="1">IF(AUTOEVENTO="Manual",ROUND(SUMPRODUCT((CÁLCULO!$M$15:$M$44=EVENTOS!$C27)*(OFFSET(CÁLCULO!$AA$15:$AA$44,0,K$13))),2),0)</f>
        <v>0</v>
      </c>
      <c r="L27" s="620" cm="1">
        <f t="array" aca="1" ref="L27" ca="1">IF(AUTOEVENTO="Manual",ROUND(SUMPRODUCT((CÁLCULO!$M$15:$M$44=EVENTOS!$C27)*(OFFSET(CÁLCULO!$AA$15:$AA$44,0,L$13))),2),0)</f>
        <v>0</v>
      </c>
      <c r="M27" s="620" cm="1">
        <f t="array" aca="1" ref="M27" ca="1">IF(AUTOEVENTO="Manual",ROUND(SUMPRODUCT((CÁLCULO!$M$15:$M$44=EVENTOS!$C27)*(OFFSET(CÁLCULO!$AA$15:$AA$44,0,M$13))),2),0)</f>
        <v>0</v>
      </c>
      <c r="N27" s="620" cm="1">
        <f t="array" aca="1" ref="N27" ca="1">IF(AUTOEVENTO="Manual",ROUND(SUMPRODUCT((CÁLCULO!$M$15:$M$44=EVENTOS!$C27)*(OFFSET(CÁLCULO!$AA$15:$AA$44,0,N$13))),2),0)</f>
        <v>0</v>
      </c>
      <c r="O27" s="620" cm="1">
        <f t="array" aca="1" ref="O27" ca="1">IF(AUTOEVENTO="Manual",ROUND(SUMPRODUCT((CÁLCULO!$M$15:$M$44=EVENTOS!$C27)*(OFFSET(CÁLCULO!$AA$15:$AA$44,0,O$13))),2),0)</f>
        <v>0</v>
      </c>
      <c r="P27" s="620" cm="1">
        <f t="array" aca="1" ref="P27" ca="1">IF(AUTOEVENTO="Manual",ROUND(SUMPRODUCT((CÁLCULO!$M$15:$M$44=EVENTOS!$C27)*(OFFSET(CÁLCULO!$AA$15:$AA$44,0,P$13))),2),0)</f>
        <v>0</v>
      </c>
      <c r="Q27" s="620" cm="1">
        <f t="array" aca="1" ref="Q27" ca="1">IF(AUTOEVENTO="Manual",ROUND(SUMPRODUCT((CÁLCULO!$M$15:$M$44=EVENTOS!$C27)*(OFFSET(CÁLCULO!$AA$15:$AA$44,0,Q$13))),2),0)</f>
        <v>0</v>
      </c>
      <c r="R27" s="620" cm="1">
        <f t="array" aca="1" ref="R27" ca="1">IF(AUTOEVENTO="Manual",ROUND(SUMPRODUCT((CÁLCULO!$M$15:$M$44=EVENTOS!$C27)*(OFFSET(CÁLCULO!$AA$15:$AA$44,0,R$13))),2),0)</f>
        <v>0</v>
      </c>
      <c r="S27" s="620" cm="1">
        <f t="array" aca="1" ref="S27" ca="1">IF(AUTOEVENTO="Manual",ROUND(SUMPRODUCT((CÁLCULO!$M$15:$M$44=EVENTOS!$C27)*(OFFSET(CÁLCULO!$AA$15:$AA$44,0,S$13))),2),0)</f>
        <v>0</v>
      </c>
      <c r="T27" s="620" cm="1">
        <f t="array" aca="1" ref="T27" ca="1">IF(AUTOEVENTO="Manual",ROUND(SUMPRODUCT((CÁLCULO!$M$15:$M$44=EVENTOS!$C27)*(OFFSET(CÁLCULO!$AA$15:$AA$44,0,T$13))),2),0)</f>
        <v>0</v>
      </c>
      <c r="U27" s="620" cm="1">
        <f t="array" aca="1" ref="U27" ca="1">IF(AUTOEVENTO="Manual",ROUND(SUMPRODUCT((CÁLCULO!$M$15:$M$44=EVENTOS!$C27)*(OFFSET(CÁLCULO!$AA$15:$AA$44,0,U$13))),2),0)</f>
        <v>0</v>
      </c>
      <c r="V27" s="620" cm="1">
        <f t="array" aca="1" ref="V27" ca="1">IF(AUTOEVENTO="Manual",ROUND(SUMPRODUCT((CÁLCULO!$M$15:$M$44=EVENTOS!$C27)*(OFFSET(CÁLCULO!$AA$15:$AA$44,0,V$13))),2),0)</f>
        <v>0</v>
      </c>
      <c r="W27" s="620" cm="1">
        <f t="array" aca="1" ref="W27" ca="1">IF(AUTOEVENTO="Manual",ROUND(SUMPRODUCT((CÁLCULO!$M$15:$M$44=EVENTOS!$C27)*(OFFSET(CÁLCULO!$AA$15:$AA$44,0,W$13))),2),0)</f>
        <v>0</v>
      </c>
      <c r="X27" s="620" cm="1">
        <f t="array" aca="1" ref="X27" ca="1">IF(AUTOEVENTO="Manual",ROUND(SUMPRODUCT((CÁLCULO!$M$15:$M$44=EVENTOS!$C27)*(OFFSET(CÁLCULO!$AA$15:$AA$44,0,X$13))),2),0)</f>
        <v>0</v>
      </c>
      <c r="Y27" s="620" cm="1">
        <f t="array" aca="1" ref="Y27" ca="1">IF(AUTOEVENTO="Manual",ROUND(SUMPRODUCT((CÁLCULO!$M$15:$M$44=EVENTOS!$C27)*(OFFSET(CÁLCULO!$AA$15:$AA$44,0,Y$13))),2),0)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IF(AUTOEVENTO="Manual",ROUND(SUMPRODUCT((CÁLCULO!$M$15:$M$44=EVENTOS!$C28)*(OFFSET(CÁLCULO!$AA$15:$AA$44,0,E$13))),2),0)</f>
        <v>0</v>
      </c>
      <c r="F28" s="183">
        <f ca="1">IF(AUTOEVENTO="Manual",ROUND(SUMPRODUCT((CÁLCULO!$M$15:$M$44=EVENTOS!$C28)*(OFFSET(CÁLCULO!$AA$15,0,1):OFFSET(CÁLCULO!$AL$44,0,-1))),2),0)</f>
        <v>0</v>
      </c>
      <c r="G28" s="621" t="str">
        <f t="shared" ca="1" si="5"/>
        <v/>
      </c>
      <c r="H28" s="620" cm="1">
        <f t="array" aca="1" ref="H28" ca="1">IF(AUTOEVENTO="Manual",ROUND(SUMPRODUCT((CÁLCULO!$M$15:$M$44=EVENTOS!$C28)*(OFFSET(CÁLCULO!$AA$15:$AA$44,0,H$13))),2),0)</f>
        <v>0</v>
      </c>
      <c r="I28" s="620" cm="1">
        <f t="array" aca="1" ref="I28" ca="1">IF(AUTOEVENTO="Manual",ROUND(SUMPRODUCT((CÁLCULO!$M$15:$M$44=EVENTOS!$C28)*(OFFSET(CÁLCULO!$AA$15:$AA$44,0,I$13))),2),0)</f>
        <v>0</v>
      </c>
      <c r="J28" s="620" cm="1">
        <f t="array" aca="1" ref="J28" ca="1">IF(AUTOEVENTO="Manual",ROUND(SUMPRODUCT((CÁLCULO!$M$15:$M$44=EVENTOS!$C28)*(OFFSET(CÁLCULO!$AA$15:$AA$44,0,J$13))),2),0)</f>
        <v>0</v>
      </c>
      <c r="K28" s="620" cm="1">
        <f t="array" aca="1" ref="K28" ca="1">IF(AUTOEVENTO="Manual",ROUND(SUMPRODUCT((CÁLCULO!$M$15:$M$44=EVENTOS!$C28)*(OFFSET(CÁLCULO!$AA$15:$AA$44,0,K$13))),2),0)</f>
        <v>0</v>
      </c>
      <c r="L28" s="620" cm="1">
        <f t="array" aca="1" ref="L28" ca="1">IF(AUTOEVENTO="Manual",ROUND(SUMPRODUCT((CÁLCULO!$M$15:$M$44=EVENTOS!$C28)*(OFFSET(CÁLCULO!$AA$15:$AA$44,0,L$13))),2),0)</f>
        <v>0</v>
      </c>
      <c r="M28" s="620" cm="1">
        <f t="array" aca="1" ref="M28" ca="1">IF(AUTOEVENTO="Manual",ROUND(SUMPRODUCT((CÁLCULO!$M$15:$M$44=EVENTOS!$C28)*(OFFSET(CÁLCULO!$AA$15:$AA$44,0,M$13))),2),0)</f>
        <v>0</v>
      </c>
      <c r="N28" s="620" cm="1">
        <f t="array" aca="1" ref="N28" ca="1">IF(AUTOEVENTO="Manual",ROUND(SUMPRODUCT((CÁLCULO!$M$15:$M$44=EVENTOS!$C28)*(OFFSET(CÁLCULO!$AA$15:$AA$44,0,N$13))),2),0)</f>
        <v>0</v>
      </c>
      <c r="O28" s="620" cm="1">
        <f t="array" aca="1" ref="O28" ca="1">IF(AUTOEVENTO="Manual",ROUND(SUMPRODUCT((CÁLCULO!$M$15:$M$44=EVENTOS!$C28)*(OFFSET(CÁLCULO!$AA$15:$AA$44,0,O$13))),2),0)</f>
        <v>0</v>
      </c>
      <c r="P28" s="620" cm="1">
        <f t="array" aca="1" ref="P28" ca="1">IF(AUTOEVENTO="Manual",ROUND(SUMPRODUCT((CÁLCULO!$M$15:$M$44=EVENTOS!$C28)*(OFFSET(CÁLCULO!$AA$15:$AA$44,0,P$13))),2),0)</f>
        <v>0</v>
      </c>
      <c r="Q28" s="620" cm="1">
        <f t="array" aca="1" ref="Q28" ca="1">IF(AUTOEVENTO="Manual",ROUND(SUMPRODUCT((CÁLCULO!$M$15:$M$44=EVENTOS!$C28)*(OFFSET(CÁLCULO!$AA$15:$AA$44,0,Q$13))),2),0)</f>
        <v>0</v>
      </c>
      <c r="R28" s="620" cm="1">
        <f t="array" aca="1" ref="R28" ca="1">IF(AUTOEVENTO="Manual",ROUND(SUMPRODUCT((CÁLCULO!$M$15:$M$44=EVENTOS!$C28)*(OFFSET(CÁLCULO!$AA$15:$AA$44,0,R$13))),2),0)</f>
        <v>0</v>
      </c>
      <c r="S28" s="620" cm="1">
        <f t="array" aca="1" ref="S28" ca="1">IF(AUTOEVENTO="Manual",ROUND(SUMPRODUCT((CÁLCULO!$M$15:$M$44=EVENTOS!$C28)*(OFFSET(CÁLCULO!$AA$15:$AA$44,0,S$13))),2),0)</f>
        <v>0</v>
      </c>
      <c r="T28" s="620" cm="1">
        <f t="array" aca="1" ref="T28" ca="1">IF(AUTOEVENTO="Manual",ROUND(SUMPRODUCT((CÁLCULO!$M$15:$M$44=EVENTOS!$C28)*(OFFSET(CÁLCULO!$AA$15:$AA$44,0,T$13))),2),0)</f>
        <v>0</v>
      </c>
      <c r="U28" s="620" cm="1">
        <f t="array" aca="1" ref="U28" ca="1">IF(AUTOEVENTO="Manual",ROUND(SUMPRODUCT((CÁLCULO!$M$15:$M$44=EVENTOS!$C28)*(OFFSET(CÁLCULO!$AA$15:$AA$44,0,U$13))),2),0)</f>
        <v>0</v>
      </c>
      <c r="V28" s="620" cm="1">
        <f t="array" aca="1" ref="V28" ca="1">IF(AUTOEVENTO="Manual",ROUND(SUMPRODUCT((CÁLCULO!$M$15:$M$44=EVENTOS!$C28)*(OFFSET(CÁLCULO!$AA$15:$AA$44,0,V$13))),2),0)</f>
        <v>0</v>
      </c>
      <c r="W28" s="620" cm="1">
        <f t="array" aca="1" ref="W28" ca="1">IF(AUTOEVENTO="Manual",ROUND(SUMPRODUCT((CÁLCULO!$M$15:$M$44=EVENTOS!$C28)*(OFFSET(CÁLCULO!$AA$15:$AA$44,0,W$13))),2),0)</f>
        <v>0</v>
      </c>
      <c r="X28" s="620" cm="1">
        <f t="array" aca="1" ref="X28" ca="1">IF(AUTOEVENTO="Manual",ROUND(SUMPRODUCT((CÁLCULO!$M$15:$M$44=EVENTOS!$C28)*(OFFSET(CÁLCULO!$AA$15:$AA$44,0,X$13))),2),0)</f>
        <v>0</v>
      </c>
      <c r="Y28" s="620" cm="1">
        <f t="array" aca="1" ref="Y28" ca="1">IF(AUTOEVENTO="Manual",ROUND(SUMPRODUCT((CÁLCULO!$M$15:$M$44=EVENTOS!$C28)*(OFFSET(CÁLCULO!$AA$15:$AA$44,0,Y$13))),2),0)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IF(AUTOEVENTO="Manual",ROUND(SUMPRODUCT((CÁLCULO!$M$15:$M$44=EVENTOS!$C29)*(OFFSET(CÁLCULO!$AA$15:$AA$44,0,E$13))),2),0)</f>
        <v>0</v>
      </c>
      <c r="F29" s="183">
        <f ca="1">IF(AUTOEVENTO="Manual",ROUND(SUMPRODUCT((CÁLCULO!$M$15:$M$44=EVENTOS!$C29)*(OFFSET(CÁLCULO!$AA$15,0,1):OFFSET(CÁLCULO!$AL$44,0,-1))),2),0)</f>
        <v>0</v>
      </c>
      <c r="G29" s="621" t="str">
        <f t="shared" ca="1" si="5"/>
        <v/>
      </c>
      <c r="H29" s="620" cm="1">
        <f t="array" aca="1" ref="H29" ca="1">IF(AUTOEVENTO="Manual",ROUND(SUMPRODUCT((CÁLCULO!$M$15:$M$44=EVENTOS!$C29)*(OFFSET(CÁLCULO!$AA$15:$AA$44,0,H$13))),2),0)</f>
        <v>0</v>
      </c>
      <c r="I29" s="620" cm="1">
        <f t="array" aca="1" ref="I29" ca="1">IF(AUTOEVENTO="Manual",ROUND(SUMPRODUCT((CÁLCULO!$M$15:$M$44=EVENTOS!$C29)*(OFFSET(CÁLCULO!$AA$15:$AA$44,0,I$13))),2),0)</f>
        <v>0</v>
      </c>
      <c r="J29" s="620" cm="1">
        <f t="array" aca="1" ref="J29" ca="1">IF(AUTOEVENTO="Manual",ROUND(SUMPRODUCT((CÁLCULO!$M$15:$M$44=EVENTOS!$C29)*(OFFSET(CÁLCULO!$AA$15:$AA$44,0,J$13))),2),0)</f>
        <v>0</v>
      </c>
      <c r="K29" s="620" cm="1">
        <f t="array" aca="1" ref="K29" ca="1">IF(AUTOEVENTO="Manual",ROUND(SUMPRODUCT((CÁLCULO!$M$15:$M$44=EVENTOS!$C29)*(OFFSET(CÁLCULO!$AA$15:$AA$44,0,K$13))),2),0)</f>
        <v>0</v>
      </c>
      <c r="L29" s="620" cm="1">
        <f t="array" aca="1" ref="L29" ca="1">IF(AUTOEVENTO="Manual",ROUND(SUMPRODUCT((CÁLCULO!$M$15:$M$44=EVENTOS!$C29)*(OFFSET(CÁLCULO!$AA$15:$AA$44,0,L$13))),2),0)</f>
        <v>0</v>
      </c>
      <c r="M29" s="620" cm="1">
        <f t="array" aca="1" ref="M29" ca="1">IF(AUTOEVENTO="Manual",ROUND(SUMPRODUCT((CÁLCULO!$M$15:$M$44=EVENTOS!$C29)*(OFFSET(CÁLCULO!$AA$15:$AA$44,0,M$13))),2),0)</f>
        <v>0</v>
      </c>
      <c r="N29" s="620" cm="1">
        <f t="array" aca="1" ref="N29" ca="1">IF(AUTOEVENTO="Manual",ROUND(SUMPRODUCT((CÁLCULO!$M$15:$M$44=EVENTOS!$C29)*(OFFSET(CÁLCULO!$AA$15:$AA$44,0,N$13))),2),0)</f>
        <v>0</v>
      </c>
      <c r="O29" s="620" cm="1">
        <f t="array" aca="1" ref="O29" ca="1">IF(AUTOEVENTO="Manual",ROUND(SUMPRODUCT((CÁLCULO!$M$15:$M$44=EVENTOS!$C29)*(OFFSET(CÁLCULO!$AA$15:$AA$44,0,O$13))),2),0)</f>
        <v>0</v>
      </c>
      <c r="P29" s="620" cm="1">
        <f t="array" aca="1" ref="P29" ca="1">IF(AUTOEVENTO="Manual",ROUND(SUMPRODUCT((CÁLCULO!$M$15:$M$44=EVENTOS!$C29)*(OFFSET(CÁLCULO!$AA$15:$AA$44,0,P$13))),2),0)</f>
        <v>0</v>
      </c>
      <c r="Q29" s="620" cm="1">
        <f t="array" aca="1" ref="Q29" ca="1">IF(AUTOEVENTO="Manual",ROUND(SUMPRODUCT((CÁLCULO!$M$15:$M$44=EVENTOS!$C29)*(OFFSET(CÁLCULO!$AA$15:$AA$44,0,Q$13))),2),0)</f>
        <v>0</v>
      </c>
      <c r="R29" s="620" cm="1">
        <f t="array" aca="1" ref="R29" ca="1">IF(AUTOEVENTO="Manual",ROUND(SUMPRODUCT((CÁLCULO!$M$15:$M$44=EVENTOS!$C29)*(OFFSET(CÁLCULO!$AA$15:$AA$44,0,R$13))),2),0)</f>
        <v>0</v>
      </c>
      <c r="S29" s="620" cm="1">
        <f t="array" aca="1" ref="S29" ca="1">IF(AUTOEVENTO="Manual",ROUND(SUMPRODUCT((CÁLCULO!$M$15:$M$44=EVENTOS!$C29)*(OFFSET(CÁLCULO!$AA$15:$AA$44,0,S$13))),2),0)</f>
        <v>0</v>
      </c>
      <c r="T29" s="620" cm="1">
        <f t="array" aca="1" ref="T29" ca="1">IF(AUTOEVENTO="Manual",ROUND(SUMPRODUCT((CÁLCULO!$M$15:$M$44=EVENTOS!$C29)*(OFFSET(CÁLCULO!$AA$15:$AA$44,0,T$13))),2),0)</f>
        <v>0</v>
      </c>
      <c r="U29" s="620" cm="1">
        <f t="array" aca="1" ref="U29" ca="1">IF(AUTOEVENTO="Manual",ROUND(SUMPRODUCT((CÁLCULO!$M$15:$M$44=EVENTOS!$C29)*(OFFSET(CÁLCULO!$AA$15:$AA$44,0,U$13))),2),0)</f>
        <v>0</v>
      </c>
      <c r="V29" s="620" cm="1">
        <f t="array" aca="1" ref="V29" ca="1">IF(AUTOEVENTO="Manual",ROUND(SUMPRODUCT((CÁLCULO!$M$15:$M$44=EVENTOS!$C29)*(OFFSET(CÁLCULO!$AA$15:$AA$44,0,V$13))),2),0)</f>
        <v>0</v>
      </c>
      <c r="W29" s="620" cm="1">
        <f t="array" aca="1" ref="W29" ca="1">IF(AUTOEVENTO="Manual",ROUND(SUMPRODUCT((CÁLCULO!$M$15:$M$44=EVENTOS!$C29)*(OFFSET(CÁLCULO!$AA$15:$AA$44,0,W$13))),2),0)</f>
        <v>0</v>
      </c>
      <c r="X29" s="620" cm="1">
        <f t="array" aca="1" ref="X29" ca="1">IF(AUTOEVENTO="Manual",ROUND(SUMPRODUCT((CÁLCULO!$M$15:$M$44=EVENTOS!$C29)*(OFFSET(CÁLCULO!$AA$15:$AA$44,0,X$13))),2),0)</f>
        <v>0</v>
      </c>
      <c r="Y29" s="620" cm="1">
        <f t="array" aca="1" ref="Y29" ca="1">IF(AUTOEVENTO="Manual",ROUND(SUMPRODUCT((CÁLCULO!$M$15:$M$44=EVENTOS!$C29)*(OFFSET(CÁLCULO!$AA$15:$AA$44,0,Y$13))),2),0)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IF(AUTOEVENTO="Manual",ROUND(SUMPRODUCT((CÁLCULO!$M$15:$M$44=EVENTOS!$C30)*(OFFSET(CÁLCULO!$AA$15:$AA$44,0,E$13))),2),0)</f>
        <v>0</v>
      </c>
      <c r="F30" s="183">
        <f ca="1">IF(AUTOEVENTO="Manual",ROUND(SUMPRODUCT((CÁLCULO!$M$15:$M$44=EVENTOS!$C30)*(OFFSET(CÁLCULO!$AA$15,0,1):OFFSET(CÁLCULO!$AL$44,0,-1))),2),0)</f>
        <v>0</v>
      </c>
      <c r="G30" s="621" t="str">
        <f t="shared" ca="1" si="5"/>
        <v/>
      </c>
      <c r="H30" s="620" cm="1">
        <f t="array" aca="1" ref="H30" ca="1">IF(AUTOEVENTO="Manual",ROUND(SUMPRODUCT((CÁLCULO!$M$15:$M$44=EVENTOS!$C30)*(OFFSET(CÁLCULO!$AA$15:$AA$44,0,H$13))),2),0)</f>
        <v>0</v>
      </c>
      <c r="I30" s="620" cm="1">
        <f t="array" aca="1" ref="I30" ca="1">IF(AUTOEVENTO="Manual",ROUND(SUMPRODUCT((CÁLCULO!$M$15:$M$44=EVENTOS!$C30)*(OFFSET(CÁLCULO!$AA$15:$AA$44,0,I$13))),2),0)</f>
        <v>0</v>
      </c>
      <c r="J30" s="620" cm="1">
        <f t="array" aca="1" ref="J30" ca="1">IF(AUTOEVENTO="Manual",ROUND(SUMPRODUCT((CÁLCULO!$M$15:$M$44=EVENTOS!$C30)*(OFFSET(CÁLCULO!$AA$15:$AA$44,0,J$13))),2),0)</f>
        <v>0</v>
      </c>
      <c r="K30" s="620" cm="1">
        <f t="array" aca="1" ref="K30" ca="1">IF(AUTOEVENTO="Manual",ROUND(SUMPRODUCT((CÁLCULO!$M$15:$M$44=EVENTOS!$C30)*(OFFSET(CÁLCULO!$AA$15:$AA$44,0,K$13))),2),0)</f>
        <v>0</v>
      </c>
      <c r="L30" s="620" cm="1">
        <f t="array" aca="1" ref="L30" ca="1">IF(AUTOEVENTO="Manual",ROUND(SUMPRODUCT((CÁLCULO!$M$15:$M$44=EVENTOS!$C30)*(OFFSET(CÁLCULO!$AA$15:$AA$44,0,L$13))),2),0)</f>
        <v>0</v>
      </c>
      <c r="M30" s="620" cm="1">
        <f t="array" aca="1" ref="M30" ca="1">IF(AUTOEVENTO="Manual",ROUND(SUMPRODUCT((CÁLCULO!$M$15:$M$44=EVENTOS!$C30)*(OFFSET(CÁLCULO!$AA$15:$AA$44,0,M$13))),2),0)</f>
        <v>0</v>
      </c>
      <c r="N30" s="620" cm="1">
        <f t="array" aca="1" ref="N30" ca="1">IF(AUTOEVENTO="Manual",ROUND(SUMPRODUCT((CÁLCULO!$M$15:$M$44=EVENTOS!$C30)*(OFFSET(CÁLCULO!$AA$15:$AA$44,0,N$13))),2),0)</f>
        <v>0</v>
      </c>
      <c r="O30" s="620" cm="1">
        <f t="array" aca="1" ref="O30" ca="1">IF(AUTOEVENTO="Manual",ROUND(SUMPRODUCT((CÁLCULO!$M$15:$M$44=EVENTOS!$C30)*(OFFSET(CÁLCULO!$AA$15:$AA$44,0,O$13))),2),0)</f>
        <v>0</v>
      </c>
      <c r="P30" s="620" cm="1">
        <f t="array" aca="1" ref="P30" ca="1">IF(AUTOEVENTO="Manual",ROUND(SUMPRODUCT((CÁLCULO!$M$15:$M$44=EVENTOS!$C30)*(OFFSET(CÁLCULO!$AA$15:$AA$44,0,P$13))),2),0)</f>
        <v>0</v>
      </c>
      <c r="Q30" s="620" cm="1">
        <f t="array" aca="1" ref="Q30" ca="1">IF(AUTOEVENTO="Manual",ROUND(SUMPRODUCT((CÁLCULO!$M$15:$M$44=EVENTOS!$C30)*(OFFSET(CÁLCULO!$AA$15:$AA$44,0,Q$13))),2),0)</f>
        <v>0</v>
      </c>
      <c r="R30" s="620" cm="1">
        <f t="array" aca="1" ref="R30" ca="1">IF(AUTOEVENTO="Manual",ROUND(SUMPRODUCT((CÁLCULO!$M$15:$M$44=EVENTOS!$C30)*(OFFSET(CÁLCULO!$AA$15:$AA$44,0,R$13))),2),0)</f>
        <v>0</v>
      </c>
      <c r="S30" s="620" cm="1">
        <f t="array" aca="1" ref="S30" ca="1">IF(AUTOEVENTO="Manual",ROUND(SUMPRODUCT((CÁLCULO!$M$15:$M$44=EVENTOS!$C30)*(OFFSET(CÁLCULO!$AA$15:$AA$44,0,S$13))),2),0)</f>
        <v>0</v>
      </c>
      <c r="T30" s="620" cm="1">
        <f t="array" aca="1" ref="T30" ca="1">IF(AUTOEVENTO="Manual",ROUND(SUMPRODUCT((CÁLCULO!$M$15:$M$44=EVENTOS!$C30)*(OFFSET(CÁLCULO!$AA$15:$AA$44,0,T$13))),2),0)</f>
        <v>0</v>
      </c>
      <c r="U30" s="620" cm="1">
        <f t="array" aca="1" ref="U30" ca="1">IF(AUTOEVENTO="Manual",ROUND(SUMPRODUCT((CÁLCULO!$M$15:$M$44=EVENTOS!$C30)*(OFFSET(CÁLCULO!$AA$15:$AA$44,0,U$13))),2),0)</f>
        <v>0</v>
      </c>
      <c r="V30" s="620" cm="1">
        <f t="array" aca="1" ref="V30" ca="1">IF(AUTOEVENTO="Manual",ROUND(SUMPRODUCT((CÁLCULO!$M$15:$M$44=EVENTOS!$C30)*(OFFSET(CÁLCULO!$AA$15:$AA$44,0,V$13))),2),0)</f>
        <v>0</v>
      </c>
      <c r="W30" s="620" cm="1">
        <f t="array" aca="1" ref="W30" ca="1">IF(AUTOEVENTO="Manual",ROUND(SUMPRODUCT((CÁLCULO!$M$15:$M$44=EVENTOS!$C30)*(OFFSET(CÁLCULO!$AA$15:$AA$44,0,W$13))),2),0)</f>
        <v>0</v>
      </c>
      <c r="X30" s="620" cm="1">
        <f t="array" aca="1" ref="X30" ca="1">IF(AUTOEVENTO="Manual",ROUND(SUMPRODUCT((CÁLCULO!$M$15:$M$44=EVENTOS!$C30)*(OFFSET(CÁLCULO!$AA$15:$AA$44,0,X$13))),2),0)</f>
        <v>0</v>
      </c>
      <c r="Y30" s="620" cm="1">
        <f t="array" aca="1" ref="Y30" ca="1">IF(AUTOEVENTO="Manual",ROUND(SUMPRODUCT((CÁLCULO!$M$15:$M$44=EVENTOS!$C30)*(OFFSET(CÁLCULO!$AA$15:$AA$44,0,Y$13))),2),0)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IF(AUTOEVENTO="Manual",ROUND(SUMPRODUCT((CÁLCULO!$M$15:$M$44=EVENTOS!$C31)*(OFFSET(CÁLCULO!$AA$15:$AA$44,0,E$13))),2),0)</f>
        <v>0</v>
      </c>
      <c r="F31" s="183">
        <f ca="1">IF(AUTOEVENTO="Manual",ROUND(SUMPRODUCT((CÁLCULO!$M$15:$M$44=EVENTOS!$C31)*(OFFSET(CÁLCULO!$AA$15,0,1):OFFSET(CÁLCULO!$AL$44,0,-1))),2),0)</f>
        <v>0</v>
      </c>
      <c r="G31" s="621" t="str">
        <f t="shared" ca="1" si="5"/>
        <v/>
      </c>
      <c r="H31" s="620" cm="1">
        <f t="array" aca="1" ref="H31" ca="1">IF(AUTOEVENTO="Manual",ROUND(SUMPRODUCT((CÁLCULO!$M$15:$M$44=EVENTOS!$C31)*(OFFSET(CÁLCULO!$AA$15:$AA$44,0,H$13))),2),0)</f>
        <v>0</v>
      </c>
      <c r="I31" s="620" cm="1">
        <f t="array" aca="1" ref="I31" ca="1">IF(AUTOEVENTO="Manual",ROUND(SUMPRODUCT((CÁLCULO!$M$15:$M$44=EVENTOS!$C31)*(OFFSET(CÁLCULO!$AA$15:$AA$44,0,I$13))),2),0)</f>
        <v>0</v>
      </c>
      <c r="J31" s="620" cm="1">
        <f t="array" aca="1" ref="J31" ca="1">IF(AUTOEVENTO="Manual",ROUND(SUMPRODUCT((CÁLCULO!$M$15:$M$44=EVENTOS!$C31)*(OFFSET(CÁLCULO!$AA$15:$AA$44,0,J$13))),2),0)</f>
        <v>0</v>
      </c>
      <c r="K31" s="620" cm="1">
        <f t="array" aca="1" ref="K31" ca="1">IF(AUTOEVENTO="Manual",ROUND(SUMPRODUCT((CÁLCULO!$M$15:$M$44=EVENTOS!$C31)*(OFFSET(CÁLCULO!$AA$15:$AA$44,0,K$13))),2),0)</f>
        <v>0</v>
      </c>
      <c r="L31" s="620" cm="1">
        <f t="array" aca="1" ref="L31" ca="1">IF(AUTOEVENTO="Manual",ROUND(SUMPRODUCT((CÁLCULO!$M$15:$M$44=EVENTOS!$C31)*(OFFSET(CÁLCULO!$AA$15:$AA$44,0,L$13))),2),0)</f>
        <v>0</v>
      </c>
      <c r="M31" s="620" cm="1">
        <f t="array" aca="1" ref="M31" ca="1">IF(AUTOEVENTO="Manual",ROUND(SUMPRODUCT((CÁLCULO!$M$15:$M$44=EVENTOS!$C31)*(OFFSET(CÁLCULO!$AA$15:$AA$44,0,M$13))),2),0)</f>
        <v>0</v>
      </c>
      <c r="N31" s="620" cm="1">
        <f t="array" aca="1" ref="N31" ca="1">IF(AUTOEVENTO="Manual",ROUND(SUMPRODUCT((CÁLCULO!$M$15:$M$44=EVENTOS!$C31)*(OFFSET(CÁLCULO!$AA$15:$AA$44,0,N$13))),2),0)</f>
        <v>0</v>
      </c>
      <c r="O31" s="620" cm="1">
        <f t="array" aca="1" ref="O31" ca="1">IF(AUTOEVENTO="Manual",ROUND(SUMPRODUCT((CÁLCULO!$M$15:$M$44=EVENTOS!$C31)*(OFFSET(CÁLCULO!$AA$15:$AA$44,0,O$13))),2),0)</f>
        <v>0</v>
      </c>
      <c r="P31" s="620" cm="1">
        <f t="array" aca="1" ref="P31" ca="1">IF(AUTOEVENTO="Manual",ROUND(SUMPRODUCT((CÁLCULO!$M$15:$M$44=EVENTOS!$C31)*(OFFSET(CÁLCULO!$AA$15:$AA$44,0,P$13))),2),0)</f>
        <v>0</v>
      </c>
      <c r="Q31" s="620" cm="1">
        <f t="array" aca="1" ref="Q31" ca="1">IF(AUTOEVENTO="Manual",ROUND(SUMPRODUCT((CÁLCULO!$M$15:$M$44=EVENTOS!$C31)*(OFFSET(CÁLCULO!$AA$15:$AA$44,0,Q$13))),2),0)</f>
        <v>0</v>
      </c>
      <c r="R31" s="620" cm="1">
        <f t="array" aca="1" ref="R31" ca="1">IF(AUTOEVENTO="Manual",ROUND(SUMPRODUCT((CÁLCULO!$M$15:$M$44=EVENTOS!$C31)*(OFFSET(CÁLCULO!$AA$15:$AA$44,0,R$13))),2),0)</f>
        <v>0</v>
      </c>
      <c r="S31" s="620" cm="1">
        <f t="array" aca="1" ref="S31" ca="1">IF(AUTOEVENTO="Manual",ROUND(SUMPRODUCT((CÁLCULO!$M$15:$M$44=EVENTOS!$C31)*(OFFSET(CÁLCULO!$AA$15:$AA$44,0,S$13))),2),0)</f>
        <v>0</v>
      </c>
      <c r="T31" s="620" cm="1">
        <f t="array" aca="1" ref="T31" ca="1">IF(AUTOEVENTO="Manual",ROUND(SUMPRODUCT((CÁLCULO!$M$15:$M$44=EVENTOS!$C31)*(OFFSET(CÁLCULO!$AA$15:$AA$44,0,T$13))),2),0)</f>
        <v>0</v>
      </c>
      <c r="U31" s="620" cm="1">
        <f t="array" aca="1" ref="U31" ca="1">IF(AUTOEVENTO="Manual",ROUND(SUMPRODUCT((CÁLCULO!$M$15:$M$44=EVENTOS!$C31)*(OFFSET(CÁLCULO!$AA$15:$AA$44,0,U$13))),2),0)</f>
        <v>0</v>
      </c>
      <c r="V31" s="620" cm="1">
        <f t="array" aca="1" ref="V31" ca="1">IF(AUTOEVENTO="Manual",ROUND(SUMPRODUCT((CÁLCULO!$M$15:$M$44=EVENTOS!$C31)*(OFFSET(CÁLCULO!$AA$15:$AA$44,0,V$13))),2),0)</f>
        <v>0</v>
      </c>
      <c r="W31" s="620" cm="1">
        <f t="array" aca="1" ref="W31" ca="1">IF(AUTOEVENTO="Manual",ROUND(SUMPRODUCT((CÁLCULO!$M$15:$M$44=EVENTOS!$C31)*(OFFSET(CÁLCULO!$AA$15:$AA$44,0,W$13))),2),0)</f>
        <v>0</v>
      </c>
      <c r="X31" s="620" cm="1">
        <f t="array" aca="1" ref="X31" ca="1">IF(AUTOEVENTO="Manual",ROUND(SUMPRODUCT((CÁLCULO!$M$15:$M$44=EVENTOS!$C31)*(OFFSET(CÁLCULO!$AA$15:$AA$44,0,X$13))),2),0)</f>
        <v>0</v>
      </c>
      <c r="Y31" s="620" cm="1">
        <f t="array" aca="1" ref="Y31" ca="1">IF(AUTOEVENTO="Manual",ROUND(SUMPRODUCT((CÁLCULO!$M$15:$M$44=EVENTOS!$C31)*(OFFSET(CÁLCULO!$AA$15:$AA$44,0,Y$13))),2),0)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IF(AUTOEVENTO="Manual",ROUND(SUMPRODUCT((CÁLCULO!$M$15:$M$44=EVENTOS!$C32)*(OFFSET(CÁLCULO!$AA$15:$AA$44,0,E$13))),2),0)</f>
        <v>0</v>
      </c>
      <c r="F32" s="183">
        <f ca="1">IF(AUTOEVENTO="Manual",ROUND(SUMPRODUCT((CÁLCULO!$M$15:$M$44=EVENTOS!$C32)*(OFFSET(CÁLCULO!$AA$15,0,1):OFFSET(CÁLCULO!$AL$44,0,-1))),2),0)</f>
        <v>0</v>
      </c>
      <c r="G32" s="621" t="str">
        <f t="shared" ca="1" si="5"/>
        <v/>
      </c>
      <c r="H32" s="620" cm="1">
        <f t="array" aca="1" ref="H32" ca="1">IF(AUTOEVENTO="Manual",ROUND(SUMPRODUCT((CÁLCULO!$M$15:$M$44=EVENTOS!$C32)*(OFFSET(CÁLCULO!$AA$15:$AA$44,0,H$13))),2),0)</f>
        <v>0</v>
      </c>
      <c r="I32" s="620" cm="1">
        <f t="array" aca="1" ref="I32" ca="1">IF(AUTOEVENTO="Manual",ROUND(SUMPRODUCT((CÁLCULO!$M$15:$M$44=EVENTOS!$C32)*(OFFSET(CÁLCULO!$AA$15:$AA$44,0,I$13))),2),0)</f>
        <v>0</v>
      </c>
      <c r="J32" s="620" cm="1">
        <f t="array" aca="1" ref="J32" ca="1">IF(AUTOEVENTO="Manual",ROUND(SUMPRODUCT((CÁLCULO!$M$15:$M$44=EVENTOS!$C32)*(OFFSET(CÁLCULO!$AA$15:$AA$44,0,J$13))),2),0)</f>
        <v>0</v>
      </c>
      <c r="K32" s="620" cm="1">
        <f t="array" aca="1" ref="K32" ca="1">IF(AUTOEVENTO="Manual",ROUND(SUMPRODUCT((CÁLCULO!$M$15:$M$44=EVENTOS!$C32)*(OFFSET(CÁLCULO!$AA$15:$AA$44,0,K$13))),2),0)</f>
        <v>0</v>
      </c>
      <c r="L32" s="620" cm="1">
        <f t="array" aca="1" ref="L32" ca="1">IF(AUTOEVENTO="Manual",ROUND(SUMPRODUCT((CÁLCULO!$M$15:$M$44=EVENTOS!$C32)*(OFFSET(CÁLCULO!$AA$15:$AA$44,0,L$13))),2),0)</f>
        <v>0</v>
      </c>
      <c r="M32" s="620" cm="1">
        <f t="array" aca="1" ref="M32" ca="1">IF(AUTOEVENTO="Manual",ROUND(SUMPRODUCT((CÁLCULO!$M$15:$M$44=EVENTOS!$C32)*(OFFSET(CÁLCULO!$AA$15:$AA$44,0,M$13))),2),0)</f>
        <v>0</v>
      </c>
      <c r="N32" s="620" cm="1">
        <f t="array" aca="1" ref="N32" ca="1">IF(AUTOEVENTO="Manual",ROUND(SUMPRODUCT((CÁLCULO!$M$15:$M$44=EVENTOS!$C32)*(OFFSET(CÁLCULO!$AA$15:$AA$44,0,N$13))),2),0)</f>
        <v>0</v>
      </c>
      <c r="O32" s="620" cm="1">
        <f t="array" aca="1" ref="O32" ca="1">IF(AUTOEVENTO="Manual",ROUND(SUMPRODUCT((CÁLCULO!$M$15:$M$44=EVENTOS!$C32)*(OFFSET(CÁLCULO!$AA$15:$AA$44,0,O$13))),2),0)</f>
        <v>0</v>
      </c>
      <c r="P32" s="620" cm="1">
        <f t="array" aca="1" ref="P32" ca="1">IF(AUTOEVENTO="Manual",ROUND(SUMPRODUCT((CÁLCULO!$M$15:$M$44=EVENTOS!$C32)*(OFFSET(CÁLCULO!$AA$15:$AA$44,0,P$13))),2),0)</f>
        <v>0</v>
      </c>
      <c r="Q32" s="620" cm="1">
        <f t="array" aca="1" ref="Q32" ca="1">IF(AUTOEVENTO="Manual",ROUND(SUMPRODUCT((CÁLCULO!$M$15:$M$44=EVENTOS!$C32)*(OFFSET(CÁLCULO!$AA$15:$AA$44,0,Q$13))),2),0)</f>
        <v>0</v>
      </c>
      <c r="R32" s="620" cm="1">
        <f t="array" aca="1" ref="R32" ca="1">IF(AUTOEVENTO="Manual",ROUND(SUMPRODUCT((CÁLCULO!$M$15:$M$44=EVENTOS!$C32)*(OFFSET(CÁLCULO!$AA$15:$AA$44,0,R$13))),2),0)</f>
        <v>0</v>
      </c>
      <c r="S32" s="620" cm="1">
        <f t="array" aca="1" ref="S32" ca="1">IF(AUTOEVENTO="Manual",ROUND(SUMPRODUCT((CÁLCULO!$M$15:$M$44=EVENTOS!$C32)*(OFFSET(CÁLCULO!$AA$15:$AA$44,0,S$13))),2),0)</f>
        <v>0</v>
      </c>
      <c r="T32" s="620" cm="1">
        <f t="array" aca="1" ref="T32" ca="1">IF(AUTOEVENTO="Manual",ROUND(SUMPRODUCT((CÁLCULO!$M$15:$M$44=EVENTOS!$C32)*(OFFSET(CÁLCULO!$AA$15:$AA$44,0,T$13))),2),0)</f>
        <v>0</v>
      </c>
      <c r="U32" s="620" cm="1">
        <f t="array" aca="1" ref="U32" ca="1">IF(AUTOEVENTO="Manual",ROUND(SUMPRODUCT((CÁLCULO!$M$15:$M$44=EVENTOS!$C32)*(OFFSET(CÁLCULO!$AA$15:$AA$44,0,U$13))),2),0)</f>
        <v>0</v>
      </c>
      <c r="V32" s="620" cm="1">
        <f t="array" aca="1" ref="V32" ca="1">IF(AUTOEVENTO="Manual",ROUND(SUMPRODUCT((CÁLCULO!$M$15:$M$44=EVENTOS!$C32)*(OFFSET(CÁLCULO!$AA$15:$AA$44,0,V$13))),2),0)</f>
        <v>0</v>
      </c>
      <c r="W32" s="620" cm="1">
        <f t="array" aca="1" ref="W32" ca="1">IF(AUTOEVENTO="Manual",ROUND(SUMPRODUCT((CÁLCULO!$M$15:$M$44=EVENTOS!$C32)*(OFFSET(CÁLCULO!$AA$15:$AA$44,0,W$13))),2),0)</f>
        <v>0</v>
      </c>
      <c r="X32" s="620" cm="1">
        <f t="array" aca="1" ref="X32" ca="1">IF(AUTOEVENTO="Manual",ROUND(SUMPRODUCT((CÁLCULO!$M$15:$M$44=EVENTOS!$C32)*(OFFSET(CÁLCULO!$AA$15:$AA$44,0,X$13))),2),0)</f>
        <v>0</v>
      </c>
      <c r="Y32" s="620" cm="1">
        <f t="array" aca="1" ref="Y32" ca="1">IF(AUTOEVENTO="Manual",ROUND(SUMPRODUCT((CÁLCULO!$M$15:$M$44=EVENTOS!$C32)*(OFFSET(CÁLCULO!$AA$15:$AA$44,0,Y$13))),2),0)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IF(AUTOEVENTO="Manual",ROUND(SUMPRODUCT((CÁLCULO!$M$15:$M$44=EVENTOS!$C33)*(OFFSET(CÁLCULO!$AA$15:$AA$44,0,E$13))),2),0)</f>
        <v>0</v>
      </c>
      <c r="F33" s="183">
        <f ca="1">IF(AUTOEVENTO="Manual",ROUND(SUMPRODUCT((CÁLCULO!$M$15:$M$44=EVENTOS!$C33)*(OFFSET(CÁLCULO!$AA$15,0,1):OFFSET(CÁLCULO!$AL$44,0,-1))),2),0)</f>
        <v>0</v>
      </c>
      <c r="G33" s="621" t="str">
        <f t="shared" ca="1" si="5"/>
        <v/>
      </c>
      <c r="H33" s="620" cm="1">
        <f t="array" aca="1" ref="H33" ca="1">IF(AUTOEVENTO="Manual",ROUND(SUMPRODUCT((CÁLCULO!$M$15:$M$44=EVENTOS!$C33)*(OFFSET(CÁLCULO!$AA$15:$AA$44,0,H$13))),2),0)</f>
        <v>0</v>
      </c>
      <c r="I33" s="620" cm="1">
        <f t="array" aca="1" ref="I33" ca="1">IF(AUTOEVENTO="Manual",ROUND(SUMPRODUCT((CÁLCULO!$M$15:$M$44=EVENTOS!$C33)*(OFFSET(CÁLCULO!$AA$15:$AA$44,0,I$13))),2),0)</f>
        <v>0</v>
      </c>
      <c r="J33" s="620" cm="1">
        <f t="array" aca="1" ref="J33" ca="1">IF(AUTOEVENTO="Manual",ROUND(SUMPRODUCT((CÁLCULO!$M$15:$M$44=EVENTOS!$C33)*(OFFSET(CÁLCULO!$AA$15:$AA$44,0,J$13))),2),0)</f>
        <v>0</v>
      </c>
      <c r="K33" s="620" cm="1">
        <f t="array" aca="1" ref="K33" ca="1">IF(AUTOEVENTO="Manual",ROUND(SUMPRODUCT((CÁLCULO!$M$15:$M$44=EVENTOS!$C33)*(OFFSET(CÁLCULO!$AA$15:$AA$44,0,K$13))),2),0)</f>
        <v>0</v>
      </c>
      <c r="L33" s="620" cm="1">
        <f t="array" aca="1" ref="L33" ca="1">IF(AUTOEVENTO="Manual",ROUND(SUMPRODUCT((CÁLCULO!$M$15:$M$44=EVENTOS!$C33)*(OFFSET(CÁLCULO!$AA$15:$AA$44,0,L$13))),2),0)</f>
        <v>0</v>
      </c>
      <c r="M33" s="620" cm="1">
        <f t="array" aca="1" ref="M33" ca="1">IF(AUTOEVENTO="Manual",ROUND(SUMPRODUCT((CÁLCULO!$M$15:$M$44=EVENTOS!$C33)*(OFFSET(CÁLCULO!$AA$15:$AA$44,0,M$13))),2),0)</f>
        <v>0</v>
      </c>
      <c r="N33" s="620" cm="1">
        <f t="array" aca="1" ref="N33" ca="1">IF(AUTOEVENTO="Manual",ROUND(SUMPRODUCT((CÁLCULO!$M$15:$M$44=EVENTOS!$C33)*(OFFSET(CÁLCULO!$AA$15:$AA$44,0,N$13))),2),0)</f>
        <v>0</v>
      </c>
      <c r="O33" s="620" cm="1">
        <f t="array" aca="1" ref="O33" ca="1">IF(AUTOEVENTO="Manual",ROUND(SUMPRODUCT((CÁLCULO!$M$15:$M$44=EVENTOS!$C33)*(OFFSET(CÁLCULO!$AA$15:$AA$44,0,O$13))),2),0)</f>
        <v>0</v>
      </c>
      <c r="P33" s="620" cm="1">
        <f t="array" aca="1" ref="P33" ca="1">IF(AUTOEVENTO="Manual",ROUND(SUMPRODUCT((CÁLCULO!$M$15:$M$44=EVENTOS!$C33)*(OFFSET(CÁLCULO!$AA$15:$AA$44,0,P$13))),2),0)</f>
        <v>0</v>
      </c>
      <c r="Q33" s="620" cm="1">
        <f t="array" aca="1" ref="Q33" ca="1">IF(AUTOEVENTO="Manual",ROUND(SUMPRODUCT((CÁLCULO!$M$15:$M$44=EVENTOS!$C33)*(OFFSET(CÁLCULO!$AA$15:$AA$44,0,Q$13))),2),0)</f>
        <v>0</v>
      </c>
      <c r="R33" s="620" cm="1">
        <f t="array" aca="1" ref="R33" ca="1">IF(AUTOEVENTO="Manual",ROUND(SUMPRODUCT((CÁLCULO!$M$15:$M$44=EVENTOS!$C33)*(OFFSET(CÁLCULO!$AA$15:$AA$44,0,R$13))),2),0)</f>
        <v>0</v>
      </c>
      <c r="S33" s="620" cm="1">
        <f t="array" aca="1" ref="S33" ca="1">IF(AUTOEVENTO="Manual",ROUND(SUMPRODUCT((CÁLCULO!$M$15:$M$44=EVENTOS!$C33)*(OFFSET(CÁLCULO!$AA$15:$AA$44,0,S$13))),2),0)</f>
        <v>0</v>
      </c>
      <c r="T33" s="620" cm="1">
        <f t="array" aca="1" ref="T33" ca="1">IF(AUTOEVENTO="Manual",ROUND(SUMPRODUCT((CÁLCULO!$M$15:$M$44=EVENTOS!$C33)*(OFFSET(CÁLCULO!$AA$15:$AA$44,0,T$13))),2),0)</f>
        <v>0</v>
      </c>
      <c r="U33" s="620" cm="1">
        <f t="array" aca="1" ref="U33" ca="1">IF(AUTOEVENTO="Manual",ROUND(SUMPRODUCT((CÁLCULO!$M$15:$M$44=EVENTOS!$C33)*(OFFSET(CÁLCULO!$AA$15:$AA$44,0,U$13))),2),0)</f>
        <v>0</v>
      </c>
      <c r="V33" s="620" cm="1">
        <f t="array" aca="1" ref="V33" ca="1">IF(AUTOEVENTO="Manual",ROUND(SUMPRODUCT((CÁLCULO!$M$15:$M$44=EVENTOS!$C33)*(OFFSET(CÁLCULO!$AA$15:$AA$44,0,V$13))),2),0)</f>
        <v>0</v>
      </c>
      <c r="W33" s="620" cm="1">
        <f t="array" aca="1" ref="W33" ca="1">IF(AUTOEVENTO="Manual",ROUND(SUMPRODUCT((CÁLCULO!$M$15:$M$44=EVENTOS!$C33)*(OFFSET(CÁLCULO!$AA$15:$AA$44,0,W$13))),2),0)</f>
        <v>0</v>
      </c>
      <c r="X33" s="620" cm="1">
        <f t="array" aca="1" ref="X33" ca="1">IF(AUTOEVENTO="Manual",ROUND(SUMPRODUCT((CÁLCULO!$M$15:$M$44=EVENTOS!$C33)*(OFFSET(CÁLCULO!$AA$15:$AA$44,0,X$13))),2),0)</f>
        <v>0</v>
      </c>
      <c r="Y33" s="620" cm="1">
        <f t="array" aca="1" ref="Y33" ca="1">IF(AUTOEVENTO="Manual",ROUND(SUMPRODUCT((CÁLCULO!$M$15:$M$44=EVENTOS!$C33)*(OFFSET(CÁLCULO!$AA$15:$AA$44,0,Y$13))),2),0)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IF(AUTOEVENTO="Manual",ROUND(SUMPRODUCT((CÁLCULO!$M$15:$M$44=EVENTOS!$C34)*(OFFSET(CÁLCULO!$AA$15:$AA$44,0,E$13))),2),0)</f>
        <v>0</v>
      </c>
      <c r="F34" s="183">
        <f ca="1">IF(AUTOEVENTO="Manual",ROUND(SUMPRODUCT((CÁLCULO!$M$15:$M$44=EVENTOS!$C34)*(OFFSET(CÁLCULO!$AA$15,0,1):OFFSET(CÁLCULO!$AL$44,0,-1))),2),0)</f>
        <v>0</v>
      </c>
      <c r="G34" s="621" t="str">
        <f t="shared" ca="1" si="5"/>
        <v/>
      </c>
      <c r="H34" s="620" cm="1">
        <f t="array" aca="1" ref="H34" ca="1">IF(AUTOEVENTO="Manual",ROUND(SUMPRODUCT((CÁLCULO!$M$15:$M$44=EVENTOS!$C34)*(OFFSET(CÁLCULO!$AA$15:$AA$44,0,H$13))),2),0)</f>
        <v>0</v>
      </c>
      <c r="I34" s="620" cm="1">
        <f t="array" aca="1" ref="I34" ca="1">IF(AUTOEVENTO="Manual",ROUND(SUMPRODUCT((CÁLCULO!$M$15:$M$44=EVENTOS!$C34)*(OFFSET(CÁLCULO!$AA$15:$AA$44,0,I$13))),2),0)</f>
        <v>0</v>
      </c>
      <c r="J34" s="620" cm="1">
        <f t="array" aca="1" ref="J34" ca="1">IF(AUTOEVENTO="Manual",ROUND(SUMPRODUCT((CÁLCULO!$M$15:$M$44=EVENTOS!$C34)*(OFFSET(CÁLCULO!$AA$15:$AA$44,0,J$13))),2),0)</f>
        <v>0</v>
      </c>
      <c r="K34" s="620" cm="1">
        <f t="array" aca="1" ref="K34" ca="1">IF(AUTOEVENTO="Manual",ROUND(SUMPRODUCT((CÁLCULO!$M$15:$M$44=EVENTOS!$C34)*(OFFSET(CÁLCULO!$AA$15:$AA$44,0,K$13))),2),0)</f>
        <v>0</v>
      </c>
      <c r="L34" s="620" cm="1">
        <f t="array" aca="1" ref="L34" ca="1">IF(AUTOEVENTO="Manual",ROUND(SUMPRODUCT((CÁLCULO!$M$15:$M$44=EVENTOS!$C34)*(OFFSET(CÁLCULO!$AA$15:$AA$44,0,L$13))),2),0)</f>
        <v>0</v>
      </c>
      <c r="M34" s="620" cm="1">
        <f t="array" aca="1" ref="M34" ca="1">IF(AUTOEVENTO="Manual",ROUND(SUMPRODUCT((CÁLCULO!$M$15:$M$44=EVENTOS!$C34)*(OFFSET(CÁLCULO!$AA$15:$AA$44,0,M$13))),2),0)</f>
        <v>0</v>
      </c>
      <c r="N34" s="620" cm="1">
        <f t="array" aca="1" ref="N34" ca="1">IF(AUTOEVENTO="Manual",ROUND(SUMPRODUCT((CÁLCULO!$M$15:$M$44=EVENTOS!$C34)*(OFFSET(CÁLCULO!$AA$15:$AA$44,0,N$13))),2),0)</f>
        <v>0</v>
      </c>
      <c r="O34" s="620" cm="1">
        <f t="array" aca="1" ref="O34" ca="1">IF(AUTOEVENTO="Manual",ROUND(SUMPRODUCT((CÁLCULO!$M$15:$M$44=EVENTOS!$C34)*(OFFSET(CÁLCULO!$AA$15:$AA$44,0,O$13))),2),0)</f>
        <v>0</v>
      </c>
      <c r="P34" s="620" cm="1">
        <f t="array" aca="1" ref="P34" ca="1">IF(AUTOEVENTO="Manual",ROUND(SUMPRODUCT((CÁLCULO!$M$15:$M$44=EVENTOS!$C34)*(OFFSET(CÁLCULO!$AA$15:$AA$44,0,P$13))),2),0)</f>
        <v>0</v>
      </c>
      <c r="Q34" s="620" cm="1">
        <f t="array" aca="1" ref="Q34" ca="1">IF(AUTOEVENTO="Manual",ROUND(SUMPRODUCT((CÁLCULO!$M$15:$M$44=EVENTOS!$C34)*(OFFSET(CÁLCULO!$AA$15:$AA$44,0,Q$13))),2),0)</f>
        <v>0</v>
      </c>
      <c r="R34" s="620" cm="1">
        <f t="array" aca="1" ref="R34" ca="1">IF(AUTOEVENTO="Manual",ROUND(SUMPRODUCT((CÁLCULO!$M$15:$M$44=EVENTOS!$C34)*(OFFSET(CÁLCULO!$AA$15:$AA$44,0,R$13))),2),0)</f>
        <v>0</v>
      </c>
      <c r="S34" s="620" cm="1">
        <f t="array" aca="1" ref="S34" ca="1">IF(AUTOEVENTO="Manual",ROUND(SUMPRODUCT((CÁLCULO!$M$15:$M$44=EVENTOS!$C34)*(OFFSET(CÁLCULO!$AA$15:$AA$44,0,S$13))),2),0)</f>
        <v>0</v>
      </c>
      <c r="T34" s="620" cm="1">
        <f t="array" aca="1" ref="T34" ca="1">IF(AUTOEVENTO="Manual",ROUND(SUMPRODUCT((CÁLCULO!$M$15:$M$44=EVENTOS!$C34)*(OFFSET(CÁLCULO!$AA$15:$AA$44,0,T$13))),2),0)</f>
        <v>0</v>
      </c>
      <c r="U34" s="620" cm="1">
        <f t="array" aca="1" ref="U34" ca="1">IF(AUTOEVENTO="Manual",ROUND(SUMPRODUCT((CÁLCULO!$M$15:$M$44=EVENTOS!$C34)*(OFFSET(CÁLCULO!$AA$15:$AA$44,0,U$13))),2),0)</f>
        <v>0</v>
      </c>
      <c r="V34" s="620" cm="1">
        <f t="array" aca="1" ref="V34" ca="1">IF(AUTOEVENTO="Manual",ROUND(SUMPRODUCT((CÁLCULO!$M$15:$M$44=EVENTOS!$C34)*(OFFSET(CÁLCULO!$AA$15:$AA$44,0,V$13))),2),0)</f>
        <v>0</v>
      </c>
      <c r="W34" s="620" cm="1">
        <f t="array" aca="1" ref="W34" ca="1">IF(AUTOEVENTO="Manual",ROUND(SUMPRODUCT((CÁLCULO!$M$15:$M$44=EVENTOS!$C34)*(OFFSET(CÁLCULO!$AA$15:$AA$44,0,W$13))),2),0)</f>
        <v>0</v>
      </c>
      <c r="X34" s="620" cm="1">
        <f t="array" aca="1" ref="X34" ca="1">IF(AUTOEVENTO="Manual",ROUND(SUMPRODUCT((CÁLCULO!$M$15:$M$44=EVENTOS!$C34)*(OFFSET(CÁLCULO!$AA$15:$AA$44,0,X$13))),2),0)</f>
        <v>0</v>
      </c>
      <c r="Y34" s="620" cm="1">
        <f t="array" aca="1" ref="Y34" ca="1">IF(AUTOEVENTO="Manual",ROUND(SUMPRODUCT((CÁLCULO!$M$15:$M$44=EVENTOS!$C34)*(OFFSET(CÁLCULO!$AA$15:$AA$44,0,Y$13))),2),0)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IF(AUTOEVENTO="Manual",ROUND(SUMPRODUCT((CÁLCULO!$M$15:$M$44=EVENTOS!$C35)*(OFFSET(CÁLCULO!$AA$15:$AA$44,0,E$13))),2),0)</f>
        <v>0</v>
      </c>
      <c r="F35" s="183">
        <f ca="1">IF(AUTOEVENTO="Manual",ROUND(SUMPRODUCT((CÁLCULO!$M$15:$M$44=EVENTOS!$C35)*(OFFSET(CÁLCULO!$AA$15,0,1):OFFSET(CÁLCULO!$AL$44,0,-1))),2),0)</f>
        <v>0</v>
      </c>
      <c r="G35" s="621" t="str">
        <f t="shared" ca="1" si="5"/>
        <v/>
      </c>
      <c r="H35" s="620" cm="1">
        <f t="array" aca="1" ref="H35" ca="1">IF(AUTOEVENTO="Manual",ROUND(SUMPRODUCT((CÁLCULO!$M$15:$M$44=EVENTOS!$C35)*(OFFSET(CÁLCULO!$AA$15:$AA$44,0,H$13))),2),0)</f>
        <v>0</v>
      </c>
      <c r="I35" s="620" cm="1">
        <f t="array" aca="1" ref="I35" ca="1">IF(AUTOEVENTO="Manual",ROUND(SUMPRODUCT((CÁLCULO!$M$15:$M$44=EVENTOS!$C35)*(OFFSET(CÁLCULO!$AA$15:$AA$44,0,I$13))),2),0)</f>
        <v>0</v>
      </c>
      <c r="J35" s="620" cm="1">
        <f t="array" aca="1" ref="J35" ca="1">IF(AUTOEVENTO="Manual",ROUND(SUMPRODUCT((CÁLCULO!$M$15:$M$44=EVENTOS!$C35)*(OFFSET(CÁLCULO!$AA$15:$AA$44,0,J$13))),2),0)</f>
        <v>0</v>
      </c>
      <c r="K35" s="620" cm="1">
        <f t="array" aca="1" ref="K35" ca="1">IF(AUTOEVENTO="Manual",ROUND(SUMPRODUCT((CÁLCULO!$M$15:$M$44=EVENTOS!$C35)*(OFFSET(CÁLCULO!$AA$15:$AA$44,0,K$13))),2),0)</f>
        <v>0</v>
      </c>
      <c r="L35" s="620" cm="1">
        <f t="array" aca="1" ref="L35" ca="1">IF(AUTOEVENTO="Manual",ROUND(SUMPRODUCT((CÁLCULO!$M$15:$M$44=EVENTOS!$C35)*(OFFSET(CÁLCULO!$AA$15:$AA$44,0,L$13))),2),0)</f>
        <v>0</v>
      </c>
      <c r="M35" s="620" cm="1">
        <f t="array" aca="1" ref="M35" ca="1">IF(AUTOEVENTO="Manual",ROUND(SUMPRODUCT((CÁLCULO!$M$15:$M$44=EVENTOS!$C35)*(OFFSET(CÁLCULO!$AA$15:$AA$44,0,M$13))),2),0)</f>
        <v>0</v>
      </c>
      <c r="N35" s="620" cm="1">
        <f t="array" aca="1" ref="N35" ca="1">IF(AUTOEVENTO="Manual",ROUND(SUMPRODUCT((CÁLCULO!$M$15:$M$44=EVENTOS!$C35)*(OFFSET(CÁLCULO!$AA$15:$AA$44,0,N$13))),2),0)</f>
        <v>0</v>
      </c>
      <c r="O35" s="620" cm="1">
        <f t="array" aca="1" ref="O35" ca="1">IF(AUTOEVENTO="Manual",ROUND(SUMPRODUCT((CÁLCULO!$M$15:$M$44=EVENTOS!$C35)*(OFFSET(CÁLCULO!$AA$15:$AA$44,0,O$13))),2),0)</f>
        <v>0</v>
      </c>
      <c r="P35" s="620" cm="1">
        <f t="array" aca="1" ref="P35" ca="1">IF(AUTOEVENTO="Manual",ROUND(SUMPRODUCT((CÁLCULO!$M$15:$M$44=EVENTOS!$C35)*(OFFSET(CÁLCULO!$AA$15:$AA$44,0,P$13))),2),0)</f>
        <v>0</v>
      </c>
      <c r="Q35" s="620" cm="1">
        <f t="array" aca="1" ref="Q35" ca="1">IF(AUTOEVENTO="Manual",ROUND(SUMPRODUCT((CÁLCULO!$M$15:$M$44=EVENTOS!$C35)*(OFFSET(CÁLCULO!$AA$15:$AA$44,0,Q$13))),2),0)</f>
        <v>0</v>
      </c>
      <c r="R35" s="620" cm="1">
        <f t="array" aca="1" ref="R35" ca="1">IF(AUTOEVENTO="Manual",ROUND(SUMPRODUCT((CÁLCULO!$M$15:$M$44=EVENTOS!$C35)*(OFFSET(CÁLCULO!$AA$15:$AA$44,0,R$13))),2),0)</f>
        <v>0</v>
      </c>
      <c r="S35" s="620" cm="1">
        <f t="array" aca="1" ref="S35" ca="1">IF(AUTOEVENTO="Manual",ROUND(SUMPRODUCT((CÁLCULO!$M$15:$M$44=EVENTOS!$C35)*(OFFSET(CÁLCULO!$AA$15:$AA$44,0,S$13))),2),0)</f>
        <v>0</v>
      </c>
      <c r="T35" s="620" cm="1">
        <f t="array" aca="1" ref="T35" ca="1">IF(AUTOEVENTO="Manual",ROUND(SUMPRODUCT((CÁLCULO!$M$15:$M$44=EVENTOS!$C35)*(OFFSET(CÁLCULO!$AA$15:$AA$44,0,T$13))),2),0)</f>
        <v>0</v>
      </c>
      <c r="U35" s="620" cm="1">
        <f t="array" aca="1" ref="U35" ca="1">IF(AUTOEVENTO="Manual",ROUND(SUMPRODUCT((CÁLCULO!$M$15:$M$44=EVENTOS!$C35)*(OFFSET(CÁLCULO!$AA$15:$AA$44,0,U$13))),2),0)</f>
        <v>0</v>
      </c>
      <c r="V35" s="620" cm="1">
        <f t="array" aca="1" ref="V35" ca="1">IF(AUTOEVENTO="Manual",ROUND(SUMPRODUCT((CÁLCULO!$M$15:$M$44=EVENTOS!$C35)*(OFFSET(CÁLCULO!$AA$15:$AA$44,0,V$13))),2),0)</f>
        <v>0</v>
      </c>
      <c r="W35" s="620" cm="1">
        <f t="array" aca="1" ref="W35" ca="1">IF(AUTOEVENTO="Manual",ROUND(SUMPRODUCT((CÁLCULO!$M$15:$M$44=EVENTOS!$C35)*(OFFSET(CÁLCULO!$AA$15:$AA$44,0,W$13))),2),0)</f>
        <v>0</v>
      </c>
      <c r="X35" s="620" cm="1">
        <f t="array" aca="1" ref="X35" ca="1">IF(AUTOEVENTO="Manual",ROUND(SUMPRODUCT((CÁLCULO!$M$15:$M$44=EVENTOS!$C35)*(OFFSET(CÁLCULO!$AA$15:$AA$44,0,X$13))),2),0)</f>
        <v>0</v>
      </c>
      <c r="Y35" s="620" cm="1">
        <f t="array" aca="1" ref="Y35" ca="1">IF(AUTOEVENTO="Manual",ROUND(SUMPRODUCT((CÁLCULO!$M$15:$M$44=EVENTOS!$C35)*(OFFSET(CÁLCULO!$AA$15:$AA$44,0,Y$13))),2),0)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IF(AUTOEVENTO="Manual",ROUND(SUMPRODUCT((CÁLCULO!$M$15:$M$44=EVENTOS!$C36)*(OFFSET(CÁLCULO!$AA$15:$AA$44,0,E$13))),2),0)</f>
        <v>0</v>
      </c>
      <c r="F36" s="183">
        <f ca="1">IF(AUTOEVENTO="Manual",ROUND(SUMPRODUCT((CÁLCULO!$M$15:$M$44=EVENTOS!$C36)*(OFFSET(CÁLCULO!$AA$15,0,1):OFFSET(CÁLCULO!$AL$44,0,-1))),2),0)</f>
        <v>0</v>
      </c>
      <c r="G36" s="621" t="str">
        <f t="shared" ca="1" si="5"/>
        <v/>
      </c>
      <c r="H36" s="620" cm="1">
        <f t="array" aca="1" ref="H36" ca="1">IF(AUTOEVENTO="Manual",ROUND(SUMPRODUCT((CÁLCULO!$M$15:$M$44=EVENTOS!$C36)*(OFFSET(CÁLCULO!$AA$15:$AA$44,0,H$13))),2),0)</f>
        <v>0</v>
      </c>
      <c r="I36" s="620" cm="1">
        <f t="array" aca="1" ref="I36" ca="1">IF(AUTOEVENTO="Manual",ROUND(SUMPRODUCT((CÁLCULO!$M$15:$M$44=EVENTOS!$C36)*(OFFSET(CÁLCULO!$AA$15:$AA$44,0,I$13))),2),0)</f>
        <v>0</v>
      </c>
      <c r="J36" s="620" cm="1">
        <f t="array" aca="1" ref="J36" ca="1">IF(AUTOEVENTO="Manual",ROUND(SUMPRODUCT((CÁLCULO!$M$15:$M$44=EVENTOS!$C36)*(OFFSET(CÁLCULO!$AA$15:$AA$44,0,J$13))),2),0)</f>
        <v>0</v>
      </c>
      <c r="K36" s="620" cm="1">
        <f t="array" aca="1" ref="K36" ca="1">IF(AUTOEVENTO="Manual",ROUND(SUMPRODUCT((CÁLCULO!$M$15:$M$44=EVENTOS!$C36)*(OFFSET(CÁLCULO!$AA$15:$AA$44,0,K$13))),2),0)</f>
        <v>0</v>
      </c>
      <c r="L36" s="620" cm="1">
        <f t="array" aca="1" ref="L36" ca="1">IF(AUTOEVENTO="Manual",ROUND(SUMPRODUCT((CÁLCULO!$M$15:$M$44=EVENTOS!$C36)*(OFFSET(CÁLCULO!$AA$15:$AA$44,0,L$13))),2),0)</f>
        <v>0</v>
      </c>
      <c r="M36" s="620" cm="1">
        <f t="array" aca="1" ref="M36" ca="1">IF(AUTOEVENTO="Manual",ROUND(SUMPRODUCT((CÁLCULO!$M$15:$M$44=EVENTOS!$C36)*(OFFSET(CÁLCULO!$AA$15:$AA$44,0,M$13))),2),0)</f>
        <v>0</v>
      </c>
      <c r="N36" s="620" cm="1">
        <f t="array" aca="1" ref="N36" ca="1">IF(AUTOEVENTO="Manual",ROUND(SUMPRODUCT((CÁLCULO!$M$15:$M$44=EVENTOS!$C36)*(OFFSET(CÁLCULO!$AA$15:$AA$44,0,N$13))),2),0)</f>
        <v>0</v>
      </c>
      <c r="O36" s="620" cm="1">
        <f t="array" aca="1" ref="O36" ca="1">IF(AUTOEVENTO="Manual",ROUND(SUMPRODUCT((CÁLCULO!$M$15:$M$44=EVENTOS!$C36)*(OFFSET(CÁLCULO!$AA$15:$AA$44,0,O$13))),2),0)</f>
        <v>0</v>
      </c>
      <c r="P36" s="620" cm="1">
        <f t="array" aca="1" ref="P36" ca="1">IF(AUTOEVENTO="Manual",ROUND(SUMPRODUCT((CÁLCULO!$M$15:$M$44=EVENTOS!$C36)*(OFFSET(CÁLCULO!$AA$15:$AA$44,0,P$13))),2),0)</f>
        <v>0</v>
      </c>
      <c r="Q36" s="620" cm="1">
        <f t="array" aca="1" ref="Q36" ca="1">IF(AUTOEVENTO="Manual",ROUND(SUMPRODUCT((CÁLCULO!$M$15:$M$44=EVENTOS!$C36)*(OFFSET(CÁLCULO!$AA$15:$AA$44,0,Q$13))),2),0)</f>
        <v>0</v>
      </c>
      <c r="R36" s="620" cm="1">
        <f t="array" aca="1" ref="R36" ca="1">IF(AUTOEVENTO="Manual",ROUND(SUMPRODUCT((CÁLCULO!$M$15:$M$44=EVENTOS!$C36)*(OFFSET(CÁLCULO!$AA$15:$AA$44,0,R$13))),2),0)</f>
        <v>0</v>
      </c>
      <c r="S36" s="620" cm="1">
        <f t="array" aca="1" ref="S36" ca="1">IF(AUTOEVENTO="Manual",ROUND(SUMPRODUCT((CÁLCULO!$M$15:$M$44=EVENTOS!$C36)*(OFFSET(CÁLCULO!$AA$15:$AA$44,0,S$13))),2),0)</f>
        <v>0</v>
      </c>
      <c r="T36" s="620" cm="1">
        <f t="array" aca="1" ref="T36" ca="1">IF(AUTOEVENTO="Manual",ROUND(SUMPRODUCT((CÁLCULO!$M$15:$M$44=EVENTOS!$C36)*(OFFSET(CÁLCULO!$AA$15:$AA$44,0,T$13))),2),0)</f>
        <v>0</v>
      </c>
      <c r="U36" s="620" cm="1">
        <f t="array" aca="1" ref="U36" ca="1">IF(AUTOEVENTO="Manual",ROUND(SUMPRODUCT((CÁLCULO!$M$15:$M$44=EVENTOS!$C36)*(OFFSET(CÁLCULO!$AA$15:$AA$44,0,U$13))),2),0)</f>
        <v>0</v>
      </c>
      <c r="V36" s="620" cm="1">
        <f t="array" aca="1" ref="V36" ca="1">IF(AUTOEVENTO="Manual",ROUND(SUMPRODUCT((CÁLCULO!$M$15:$M$44=EVENTOS!$C36)*(OFFSET(CÁLCULO!$AA$15:$AA$44,0,V$13))),2),0)</f>
        <v>0</v>
      </c>
      <c r="W36" s="620" cm="1">
        <f t="array" aca="1" ref="W36" ca="1">IF(AUTOEVENTO="Manual",ROUND(SUMPRODUCT((CÁLCULO!$M$15:$M$44=EVENTOS!$C36)*(OFFSET(CÁLCULO!$AA$15:$AA$44,0,W$13))),2),0)</f>
        <v>0</v>
      </c>
      <c r="X36" s="620" cm="1">
        <f t="array" aca="1" ref="X36" ca="1">IF(AUTOEVENTO="Manual",ROUND(SUMPRODUCT((CÁLCULO!$M$15:$M$44=EVENTOS!$C36)*(OFFSET(CÁLCULO!$AA$15:$AA$44,0,X$13))),2),0)</f>
        <v>0</v>
      </c>
      <c r="Y36" s="620" cm="1">
        <f t="array" aca="1" ref="Y36" ca="1">IF(AUTOEVENTO="Manual",ROUND(SUMPRODUCT((CÁLCULO!$M$15:$M$44=EVENTOS!$C36)*(OFFSET(CÁLCULO!$AA$15:$AA$44,0,Y$13))),2),0)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IF(AUTOEVENTO="Manual",ROUND(SUMPRODUCT((CÁLCULO!$M$15:$M$44=EVENTOS!$C37)*(OFFSET(CÁLCULO!$AA$15:$AA$44,0,E$13))),2),0)</f>
        <v>0</v>
      </c>
      <c r="F37" s="183">
        <f ca="1">IF(AUTOEVENTO="Manual",ROUND(SUMPRODUCT((CÁLCULO!$M$15:$M$44=EVENTOS!$C37)*(OFFSET(CÁLCULO!$AA$15,0,1):OFFSET(CÁLCULO!$AL$44,0,-1))),2),0)</f>
        <v>0</v>
      </c>
      <c r="G37" s="621" t="str">
        <f t="shared" ca="1" si="5"/>
        <v/>
      </c>
      <c r="H37" s="620" cm="1">
        <f t="array" aca="1" ref="H37" ca="1">IF(AUTOEVENTO="Manual",ROUND(SUMPRODUCT((CÁLCULO!$M$15:$M$44=EVENTOS!$C37)*(OFFSET(CÁLCULO!$AA$15:$AA$44,0,H$13))),2),0)</f>
        <v>0</v>
      </c>
      <c r="I37" s="620" cm="1">
        <f t="array" aca="1" ref="I37" ca="1">IF(AUTOEVENTO="Manual",ROUND(SUMPRODUCT((CÁLCULO!$M$15:$M$44=EVENTOS!$C37)*(OFFSET(CÁLCULO!$AA$15:$AA$44,0,I$13))),2),0)</f>
        <v>0</v>
      </c>
      <c r="J37" s="620" cm="1">
        <f t="array" aca="1" ref="J37" ca="1">IF(AUTOEVENTO="Manual",ROUND(SUMPRODUCT((CÁLCULO!$M$15:$M$44=EVENTOS!$C37)*(OFFSET(CÁLCULO!$AA$15:$AA$44,0,J$13))),2),0)</f>
        <v>0</v>
      </c>
      <c r="K37" s="620" cm="1">
        <f t="array" aca="1" ref="K37" ca="1">IF(AUTOEVENTO="Manual",ROUND(SUMPRODUCT((CÁLCULO!$M$15:$M$44=EVENTOS!$C37)*(OFFSET(CÁLCULO!$AA$15:$AA$44,0,K$13))),2),0)</f>
        <v>0</v>
      </c>
      <c r="L37" s="620" cm="1">
        <f t="array" aca="1" ref="L37" ca="1">IF(AUTOEVENTO="Manual",ROUND(SUMPRODUCT((CÁLCULO!$M$15:$M$44=EVENTOS!$C37)*(OFFSET(CÁLCULO!$AA$15:$AA$44,0,L$13))),2),0)</f>
        <v>0</v>
      </c>
      <c r="M37" s="620" cm="1">
        <f t="array" aca="1" ref="M37" ca="1">IF(AUTOEVENTO="Manual",ROUND(SUMPRODUCT((CÁLCULO!$M$15:$M$44=EVENTOS!$C37)*(OFFSET(CÁLCULO!$AA$15:$AA$44,0,M$13))),2),0)</f>
        <v>0</v>
      </c>
      <c r="N37" s="620" cm="1">
        <f t="array" aca="1" ref="N37" ca="1">IF(AUTOEVENTO="Manual",ROUND(SUMPRODUCT((CÁLCULO!$M$15:$M$44=EVENTOS!$C37)*(OFFSET(CÁLCULO!$AA$15:$AA$44,0,N$13))),2),0)</f>
        <v>0</v>
      </c>
      <c r="O37" s="620" cm="1">
        <f t="array" aca="1" ref="O37" ca="1">IF(AUTOEVENTO="Manual",ROUND(SUMPRODUCT((CÁLCULO!$M$15:$M$44=EVENTOS!$C37)*(OFFSET(CÁLCULO!$AA$15:$AA$44,0,O$13))),2),0)</f>
        <v>0</v>
      </c>
      <c r="P37" s="620" cm="1">
        <f t="array" aca="1" ref="P37" ca="1">IF(AUTOEVENTO="Manual",ROUND(SUMPRODUCT((CÁLCULO!$M$15:$M$44=EVENTOS!$C37)*(OFFSET(CÁLCULO!$AA$15:$AA$44,0,P$13))),2),0)</f>
        <v>0</v>
      </c>
      <c r="Q37" s="620" cm="1">
        <f t="array" aca="1" ref="Q37" ca="1">IF(AUTOEVENTO="Manual",ROUND(SUMPRODUCT((CÁLCULO!$M$15:$M$44=EVENTOS!$C37)*(OFFSET(CÁLCULO!$AA$15:$AA$44,0,Q$13))),2),0)</f>
        <v>0</v>
      </c>
      <c r="R37" s="620" cm="1">
        <f t="array" aca="1" ref="R37" ca="1">IF(AUTOEVENTO="Manual",ROUND(SUMPRODUCT((CÁLCULO!$M$15:$M$44=EVENTOS!$C37)*(OFFSET(CÁLCULO!$AA$15:$AA$44,0,R$13))),2),0)</f>
        <v>0</v>
      </c>
      <c r="S37" s="620" cm="1">
        <f t="array" aca="1" ref="S37" ca="1">IF(AUTOEVENTO="Manual",ROUND(SUMPRODUCT((CÁLCULO!$M$15:$M$44=EVENTOS!$C37)*(OFFSET(CÁLCULO!$AA$15:$AA$44,0,S$13))),2),0)</f>
        <v>0</v>
      </c>
      <c r="T37" s="620" cm="1">
        <f t="array" aca="1" ref="T37" ca="1">IF(AUTOEVENTO="Manual",ROUND(SUMPRODUCT((CÁLCULO!$M$15:$M$44=EVENTOS!$C37)*(OFFSET(CÁLCULO!$AA$15:$AA$44,0,T$13))),2),0)</f>
        <v>0</v>
      </c>
      <c r="U37" s="620" cm="1">
        <f t="array" aca="1" ref="U37" ca="1">IF(AUTOEVENTO="Manual",ROUND(SUMPRODUCT((CÁLCULO!$M$15:$M$44=EVENTOS!$C37)*(OFFSET(CÁLCULO!$AA$15:$AA$44,0,U$13))),2),0)</f>
        <v>0</v>
      </c>
      <c r="V37" s="620" cm="1">
        <f t="array" aca="1" ref="V37" ca="1">IF(AUTOEVENTO="Manual",ROUND(SUMPRODUCT((CÁLCULO!$M$15:$M$44=EVENTOS!$C37)*(OFFSET(CÁLCULO!$AA$15:$AA$44,0,V$13))),2),0)</f>
        <v>0</v>
      </c>
      <c r="W37" s="620" cm="1">
        <f t="array" aca="1" ref="W37" ca="1">IF(AUTOEVENTO="Manual",ROUND(SUMPRODUCT((CÁLCULO!$M$15:$M$44=EVENTOS!$C37)*(OFFSET(CÁLCULO!$AA$15:$AA$44,0,W$13))),2),0)</f>
        <v>0</v>
      </c>
      <c r="X37" s="620" cm="1">
        <f t="array" aca="1" ref="X37" ca="1">IF(AUTOEVENTO="Manual",ROUND(SUMPRODUCT((CÁLCULO!$M$15:$M$44=EVENTOS!$C37)*(OFFSET(CÁLCULO!$AA$15:$AA$44,0,X$13))),2),0)</f>
        <v>0</v>
      </c>
      <c r="Y37" s="620" cm="1">
        <f t="array" aca="1" ref="Y37" ca="1">IF(AUTOEVENTO="Manual",ROUND(SUMPRODUCT((CÁLCULO!$M$15:$M$44=EVENTOS!$C37)*(OFFSET(CÁLCULO!$AA$15:$AA$44,0,Y$13))),2),0)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IF(AUTOEVENTO="Manual",ROUND(SUMPRODUCT((CÁLCULO!$M$15:$M$44=EVENTOS!$C38)*(OFFSET(CÁLCULO!$AA$15:$AA$44,0,E$13))),2),0)</f>
        <v>0</v>
      </c>
      <c r="F38" s="183">
        <f ca="1">IF(AUTOEVENTO="Manual",ROUND(SUMPRODUCT((CÁLCULO!$M$15:$M$44=EVENTOS!$C38)*(OFFSET(CÁLCULO!$AA$15,0,1):OFFSET(CÁLCULO!$AL$44,0,-1))),2),0)</f>
        <v>0</v>
      </c>
      <c r="G38" s="621" t="str">
        <f t="shared" ca="1" si="5"/>
        <v/>
      </c>
      <c r="H38" s="620" cm="1">
        <f t="array" aca="1" ref="H38" ca="1">IF(AUTOEVENTO="Manual",ROUND(SUMPRODUCT((CÁLCULO!$M$15:$M$44=EVENTOS!$C38)*(OFFSET(CÁLCULO!$AA$15:$AA$44,0,H$13))),2),0)</f>
        <v>0</v>
      </c>
      <c r="I38" s="620" cm="1">
        <f t="array" aca="1" ref="I38" ca="1">IF(AUTOEVENTO="Manual",ROUND(SUMPRODUCT((CÁLCULO!$M$15:$M$44=EVENTOS!$C38)*(OFFSET(CÁLCULO!$AA$15:$AA$44,0,I$13))),2),0)</f>
        <v>0</v>
      </c>
      <c r="J38" s="620" cm="1">
        <f t="array" aca="1" ref="J38" ca="1">IF(AUTOEVENTO="Manual",ROUND(SUMPRODUCT((CÁLCULO!$M$15:$M$44=EVENTOS!$C38)*(OFFSET(CÁLCULO!$AA$15:$AA$44,0,J$13))),2),0)</f>
        <v>0</v>
      </c>
      <c r="K38" s="620" cm="1">
        <f t="array" aca="1" ref="K38" ca="1">IF(AUTOEVENTO="Manual",ROUND(SUMPRODUCT((CÁLCULO!$M$15:$M$44=EVENTOS!$C38)*(OFFSET(CÁLCULO!$AA$15:$AA$44,0,K$13))),2),0)</f>
        <v>0</v>
      </c>
      <c r="L38" s="620" cm="1">
        <f t="array" aca="1" ref="L38" ca="1">IF(AUTOEVENTO="Manual",ROUND(SUMPRODUCT((CÁLCULO!$M$15:$M$44=EVENTOS!$C38)*(OFFSET(CÁLCULO!$AA$15:$AA$44,0,L$13))),2),0)</f>
        <v>0</v>
      </c>
      <c r="M38" s="620" cm="1">
        <f t="array" aca="1" ref="M38" ca="1">IF(AUTOEVENTO="Manual",ROUND(SUMPRODUCT((CÁLCULO!$M$15:$M$44=EVENTOS!$C38)*(OFFSET(CÁLCULO!$AA$15:$AA$44,0,M$13))),2),0)</f>
        <v>0</v>
      </c>
      <c r="N38" s="620" cm="1">
        <f t="array" aca="1" ref="N38" ca="1">IF(AUTOEVENTO="Manual",ROUND(SUMPRODUCT((CÁLCULO!$M$15:$M$44=EVENTOS!$C38)*(OFFSET(CÁLCULO!$AA$15:$AA$44,0,N$13))),2),0)</f>
        <v>0</v>
      </c>
      <c r="O38" s="620" cm="1">
        <f t="array" aca="1" ref="O38" ca="1">IF(AUTOEVENTO="Manual",ROUND(SUMPRODUCT((CÁLCULO!$M$15:$M$44=EVENTOS!$C38)*(OFFSET(CÁLCULO!$AA$15:$AA$44,0,O$13))),2),0)</f>
        <v>0</v>
      </c>
      <c r="P38" s="620" cm="1">
        <f t="array" aca="1" ref="P38" ca="1">IF(AUTOEVENTO="Manual",ROUND(SUMPRODUCT((CÁLCULO!$M$15:$M$44=EVENTOS!$C38)*(OFFSET(CÁLCULO!$AA$15:$AA$44,0,P$13))),2),0)</f>
        <v>0</v>
      </c>
      <c r="Q38" s="620" cm="1">
        <f t="array" aca="1" ref="Q38" ca="1">IF(AUTOEVENTO="Manual",ROUND(SUMPRODUCT((CÁLCULO!$M$15:$M$44=EVENTOS!$C38)*(OFFSET(CÁLCULO!$AA$15:$AA$44,0,Q$13))),2),0)</f>
        <v>0</v>
      </c>
      <c r="R38" s="620" cm="1">
        <f t="array" aca="1" ref="R38" ca="1">IF(AUTOEVENTO="Manual",ROUND(SUMPRODUCT((CÁLCULO!$M$15:$M$44=EVENTOS!$C38)*(OFFSET(CÁLCULO!$AA$15:$AA$44,0,R$13))),2),0)</f>
        <v>0</v>
      </c>
      <c r="S38" s="620" cm="1">
        <f t="array" aca="1" ref="S38" ca="1">IF(AUTOEVENTO="Manual",ROUND(SUMPRODUCT((CÁLCULO!$M$15:$M$44=EVENTOS!$C38)*(OFFSET(CÁLCULO!$AA$15:$AA$44,0,S$13))),2),0)</f>
        <v>0</v>
      </c>
      <c r="T38" s="620" cm="1">
        <f t="array" aca="1" ref="T38" ca="1">IF(AUTOEVENTO="Manual",ROUND(SUMPRODUCT((CÁLCULO!$M$15:$M$44=EVENTOS!$C38)*(OFFSET(CÁLCULO!$AA$15:$AA$44,0,T$13))),2),0)</f>
        <v>0</v>
      </c>
      <c r="U38" s="620" cm="1">
        <f t="array" aca="1" ref="U38" ca="1">IF(AUTOEVENTO="Manual",ROUND(SUMPRODUCT((CÁLCULO!$M$15:$M$44=EVENTOS!$C38)*(OFFSET(CÁLCULO!$AA$15:$AA$44,0,U$13))),2),0)</f>
        <v>0</v>
      </c>
      <c r="V38" s="620" cm="1">
        <f t="array" aca="1" ref="V38" ca="1">IF(AUTOEVENTO="Manual",ROUND(SUMPRODUCT((CÁLCULO!$M$15:$M$44=EVENTOS!$C38)*(OFFSET(CÁLCULO!$AA$15:$AA$44,0,V$13))),2),0)</f>
        <v>0</v>
      </c>
      <c r="W38" s="620" cm="1">
        <f t="array" aca="1" ref="W38" ca="1">IF(AUTOEVENTO="Manual",ROUND(SUMPRODUCT((CÁLCULO!$M$15:$M$44=EVENTOS!$C38)*(OFFSET(CÁLCULO!$AA$15:$AA$44,0,W$13))),2),0)</f>
        <v>0</v>
      </c>
      <c r="X38" s="620" cm="1">
        <f t="array" aca="1" ref="X38" ca="1">IF(AUTOEVENTO="Manual",ROUND(SUMPRODUCT((CÁLCULO!$M$15:$M$44=EVENTOS!$C38)*(OFFSET(CÁLCULO!$AA$15:$AA$44,0,X$13))),2),0)</f>
        <v>0</v>
      </c>
      <c r="Y38" s="620" cm="1">
        <f t="array" aca="1" ref="Y38" ca="1">IF(AUTOEVENTO="Manual",ROUND(SUMPRODUCT((CÁLCULO!$M$15:$M$44=EVENTOS!$C38)*(OFFSET(CÁLCULO!$AA$15:$AA$44,0,Y$13))),2),0)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IF(AUTOEVENTO="Manual",ROUND(SUMPRODUCT((CÁLCULO!$M$15:$M$44=EVENTOS!$C39)*(OFFSET(CÁLCULO!$AA$15:$AA$44,0,E$13))),2),0)</f>
        <v>0</v>
      </c>
      <c r="F39" s="183">
        <f ca="1">IF(AUTOEVENTO="Manual",ROUND(SUMPRODUCT((CÁLCULO!$M$15:$M$44=EVENTOS!$C39)*(OFFSET(CÁLCULO!$AA$15,0,1):OFFSET(CÁLCULO!$AL$44,0,-1))),2),0)</f>
        <v>0</v>
      </c>
      <c r="G39" s="621" t="str">
        <f t="shared" ca="1" si="5"/>
        <v/>
      </c>
      <c r="H39" s="620" cm="1">
        <f t="array" aca="1" ref="H39" ca="1">IF(AUTOEVENTO="Manual",ROUND(SUMPRODUCT((CÁLCULO!$M$15:$M$44=EVENTOS!$C39)*(OFFSET(CÁLCULO!$AA$15:$AA$44,0,H$13))),2),0)</f>
        <v>0</v>
      </c>
      <c r="I39" s="620" cm="1">
        <f t="array" aca="1" ref="I39" ca="1">IF(AUTOEVENTO="Manual",ROUND(SUMPRODUCT((CÁLCULO!$M$15:$M$44=EVENTOS!$C39)*(OFFSET(CÁLCULO!$AA$15:$AA$44,0,I$13))),2),0)</f>
        <v>0</v>
      </c>
      <c r="J39" s="620" cm="1">
        <f t="array" aca="1" ref="J39" ca="1">IF(AUTOEVENTO="Manual",ROUND(SUMPRODUCT((CÁLCULO!$M$15:$M$44=EVENTOS!$C39)*(OFFSET(CÁLCULO!$AA$15:$AA$44,0,J$13))),2),0)</f>
        <v>0</v>
      </c>
      <c r="K39" s="620" cm="1">
        <f t="array" aca="1" ref="K39" ca="1">IF(AUTOEVENTO="Manual",ROUND(SUMPRODUCT((CÁLCULO!$M$15:$M$44=EVENTOS!$C39)*(OFFSET(CÁLCULO!$AA$15:$AA$44,0,K$13))),2),0)</f>
        <v>0</v>
      </c>
      <c r="L39" s="620" cm="1">
        <f t="array" aca="1" ref="L39" ca="1">IF(AUTOEVENTO="Manual",ROUND(SUMPRODUCT((CÁLCULO!$M$15:$M$44=EVENTOS!$C39)*(OFFSET(CÁLCULO!$AA$15:$AA$44,0,L$13))),2),0)</f>
        <v>0</v>
      </c>
      <c r="M39" s="620" cm="1">
        <f t="array" aca="1" ref="M39" ca="1">IF(AUTOEVENTO="Manual",ROUND(SUMPRODUCT((CÁLCULO!$M$15:$M$44=EVENTOS!$C39)*(OFFSET(CÁLCULO!$AA$15:$AA$44,0,M$13))),2),0)</f>
        <v>0</v>
      </c>
      <c r="N39" s="620" cm="1">
        <f t="array" aca="1" ref="N39" ca="1">IF(AUTOEVENTO="Manual",ROUND(SUMPRODUCT((CÁLCULO!$M$15:$M$44=EVENTOS!$C39)*(OFFSET(CÁLCULO!$AA$15:$AA$44,0,N$13))),2),0)</f>
        <v>0</v>
      </c>
      <c r="O39" s="620" cm="1">
        <f t="array" aca="1" ref="O39" ca="1">IF(AUTOEVENTO="Manual",ROUND(SUMPRODUCT((CÁLCULO!$M$15:$M$44=EVENTOS!$C39)*(OFFSET(CÁLCULO!$AA$15:$AA$44,0,O$13))),2),0)</f>
        <v>0</v>
      </c>
      <c r="P39" s="620" cm="1">
        <f t="array" aca="1" ref="P39" ca="1">IF(AUTOEVENTO="Manual",ROUND(SUMPRODUCT((CÁLCULO!$M$15:$M$44=EVENTOS!$C39)*(OFFSET(CÁLCULO!$AA$15:$AA$44,0,P$13))),2),0)</f>
        <v>0</v>
      </c>
      <c r="Q39" s="620" cm="1">
        <f t="array" aca="1" ref="Q39" ca="1">IF(AUTOEVENTO="Manual",ROUND(SUMPRODUCT((CÁLCULO!$M$15:$M$44=EVENTOS!$C39)*(OFFSET(CÁLCULO!$AA$15:$AA$44,0,Q$13))),2),0)</f>
        <v>0</v>
      </c>
      <c r="R39" s="620" cm="1">
        <f t="array" aca="1" ref="R39" ca="1">IF(AUTOEVENTO="Manual",ROUND(SUMPRODUCT((CÁLCULO!$M$15:$M$44=EVENTOS!$C39)*(OFFSET(CÁLCULO!$AA$15:$AA$44,0,R$13))),2),0)</f>
        <v>0</v>
      </c>
      <c r="S39" s="620" cm="1">
        <f t="array" aca="1" ref="S39" ca="1">IF(AUTOEVENTO="Manual",ROUND(SUMPRODUCT((CÁLCULO!$M$15:$M$44=EVENTOS!$C39)*(OFFSET(CÁLCULO!$AA$15:$AA$44,0,S$13))),2),0)</f>
        <v>0</v>
      </c>
      <c r="T39" s="620" cm="1">
        <f t="array" aca="1" ref="T39" ca="1">IF(AUTOEVENTO="Manual",ROUND(SUMPRODUCT((CÁLCULO!$M$15:$M$44=EVENTOS!$C39)*(OFFSET(CÁLCULO!$AA$15:$AA$44,0,T$13))),2),0)</f>
        <v>0</v>
      </c>
      <c r="U39" s="620" cm="1">
        <f t="array" aca="1" ref="U39" ca="1">IF(AUTOEVENTO="Manual",ROUND(SUMPRODUCT((CÁLCULO!$M$15:$M$44=EVENTOS!$C39)*(OFFSET(CÁLCULO!$AA$15:$AA$44,0,U$13))),2),0)</f>
        <v>0</v>
      </c>
      <c r="V39" s="620" cm="1">
        <f t="array" aca="1" ref="V39" ca="1">IF(AUTOEVENTO="Manual",ROUND(SUMPRODUCT((CÁLCULO!$M$15:$M$44=EVENTOS!$C39)*(OFFSET(CÁLCULO!$AA$15:$AA$44,0,V$13))),2),0)</f>
        <v>0</v>
      </c>
      <c r="W39" s="620" cm="1">
        <f t="array" aca="1" ref="W39" ca="1">IF(AUTOEVENTO="Manual",ROUND(SUMPRODUCT((CÁLCULO!$M$15:$M$44=EVENTOS!$C39)*(OFFSET(CÁLCULO!$AA$15:$AA$44,0,W$13))),2),0)</f>
        <v>0</v>
      </c>
      <c r="X39" s="620" cm="1">
        <f t="array" aca="1" ref="X39" ca="1">IF(AUTOEVENTO="Manual",ROUND(SUMPRODUCT((CÁLCULO!$M$15:$M$44=EVENTOS!$C39)*(OFFSET(CÁLCULO!$AA$15:$AA$44,0,X$13))),2),0)</f>
        <v>0</v>
      </c>
      <c r="Y39" s="620" cm="1">
        <f t="array" aca="1" ref="Y39" ca="1">IF(AUTOEVENTO="Manual",ROUND(SUMPRODUCT((CÁLCULO!$M$15:$M$44=EVENTOS!$C39)*(OFFSET(CÁLCULO!$AA$15:$AA$44,0,Y$13))),2),0)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IF(AUTOEVENTO="Manual",ROUND(SUMPRODUCT((CÁLCULO!$M$15:$M$44=EVENTOS!$C40)*(OFFSET(CÁLCULO!$AA$15:$AA$44,0,E$13))),2),0)</f>
        <v>0</v>
      </c>
      <c r="F40" s="183">
        <f ca="1">IF(AUTOEVENTO="Manual",ROUND(SUMPRODUCT((CÁLCULO!$M$15:$M$44=EVENTOS!$C40)*(OFFSET(CÁLCULO!$AA$15,0,1):OFFSET(CÁLCULO!$AL$44,0,-1))),2),0)</f>
        <v>0</v>
      </c>
      <c r="G40" s="621" t="str">
        <f t="shared" ca="1" si="5"/>
        <v/>
      </c>
      <c r="H40" s="620" cm="1">
        <f t="array" aca="1" ref="H40" ca="1">IF(AUTOEVENTO="Manual",ROUND(SUMPRODUCT((CÁLCULO!$M$15:$M$44=EVENTOS!$C40)*(OFFSET(CÁLCULO!$AA$15:$AA$44,0,H$13))),2),0)</f>
        <v>0</v>
      </c>
      <c r="I40" s="620" cm="1">
        <f t="array" aca="1" ref="I40" ca="1">IF(AUTOEVENTO="Manual",ROUND(SUMPRODUCT((CÁLCULO!$M$15:$M$44=EVENTOS!$C40)*(OFFSET(CÁLCULO!$AA$15:$AA$44,0,I$13))),2),0)</f>
        <v>0</v>
      </c>
      <c r="J40" s="620" cm="1">
        <f t="array" aca="1" ref="J40" ca="1">IF(AUTOEVENTO="Manual",ROUND(SUMPRODUCT((CÁLCULO!$M$15:$M$44=EVENTOS!$C40)*(OFFSET(CÁLCULO!$AA$15:$AA$44,0,J$13))),2),0)</f>
        <v>0</v>
      </c>
      <c r="K40" s="620" cm="1">
        <f t="array" aca="1" ref="K40" ca="1">IF(AUTOEVENTO="Manual",ROUND(SUMPRODUCT((CÁLCULO!$M$15:$M$44=EVENTOS!$C40)*(OFFSET(CÁLCULO!$AA$15:$AA$44,0,K$13))),2),0)</f>
        <v>0</v>
      </c>
      <c r="L40" s="620" cm="1">
        <f t="array" aca="1" ref="L40" ca="1">IF(AUTOEVENTO="Manual",ROUND(SUMPRODUCT((CÁLCULO!$M$15:$M$44=EVENTOS!$C40)*(OFFSET(CÁLCULO!$AA$15:$AA$44,0,L$13))),2),0)</f>
        <v>0</v>
      </c>
      <c r="M40" s="620" cm="1">
        <f t="array" aca="1" ref="M40" ca="1">IF(AUTOEVENTO="Manual",ROUND(SUMPRODUCT((CÁLCULO!$M$15:$M$44=EVENTOS!$C40)*(OFFSET(CÁLCULO!$AA$15:$AA$44,0,M$13))),2),0)</f>
        <v>0</v>
      </c>
      <c r="N40" s="620" cm="1">
        <f t="array" aca="1" ref="N40" ca="1">IF(AUTOEVENTO="Manual",ROUND(SUMPRODUCT((CÁLCULO!$M$15:$M$44=EVENTOS!$C40)*(OFFSET(CÁLCULO!$AA$15:$AA$44,0,N$13))),2),0)</f>
        <v>0</v>
      </c>
      <c r="O40" s="620" cm="1">
        <f t="array" aca="1" ref="O40" ca="1">IF(AUTOEVENTO="Manual",ROUND(SUMPRODUCT((CÁLCULO!$M$15:$M$44=EVENTOS!$C40)*(OFFSET(CÁLCULO!$AA$15:$AA$44,0,O$13))),2),0)</f>
        <v>0</v>
      </c>
      <c r="P40" s="620" cm="1">
        <f t="array" aca="1" ref="P40" ca="1">IF(AUTOEVENTO="Manual",ROUND(SUMPRODUCT((CÁLCULO!$M$15:$M$44=EVENTOS!$C40)*(OFFSET(CÁLCULO!$AA$15:$AA$44,0,P$13))),2),0)</f>
        <v>0</v>
      </c>
      <c r="Q40" s="620" cm="1">
        <f t="array" aca="1" ref="Q40" ca="1">IF(AUTOEVENTO="Manual",ROUND(SUMPRODUCT((CÁLCULO!$M$15:$M$44=EVENTOS!$C40)*(OFFSET(CÁLCULO!$AA$15:$AA$44,0,Q$13))),2),0)</f>
        <v>0</v>
      </c>
      <c r="R40" s="620" cm="1">
        <f t="array" aca="1" ref="R40" ca="1">IF(AUTOEVENTO="Manual",ROUND(SUMPRODUCT((CÁLCULO!$M$15:$M$44=EVENTOS!$C40)*(OFFSET(CÁLCULO!$AA$15:$AA$44,0,R$13))),2),0)</f>
        <v>0</v>
      </c>
      <c r="S40" s="620" cm="1">
        <f t="array" aca="1" ref="S40" ca="1">IF(AUTOEVENTO="Manual",ROUND(SUMPRODUCT((CÁLCULO!$M$15:$M$44=EVENTOS!$C40)*(OFFSET(CÁLCULO!$AA$15:$AA$44,0,S$13))),2),0)</f>
        <v>0</v>
      </c>
      <c r="T40" s="620" cm="1">
        <f t="array" aca="1" ref="T40" ca="1">IF(AUTOEVENTO="Manual",ROUND(SUMPRODUCT((CÁLCULO!$M$15:$M$44=EVENTOS!$C40)*(OFFSET(CÁLCULO!$AA$15:$AA$44,0,T$13))),2),0)</f>
        <v>0</v>
      </c>
      <c r="U40" s="620" cm="1">
        <f t="array" aca="1" ref="U40" ca="1">IF(AUTOEVENTO="Manual",ROUND(SUMPRODUCT((CÁLCULO!$M$15:$M$44=EVENTOS!$C40)*(OFFSET(CÁLCULO!$AA$15:$AA$44,0,U$13))),2),0)</f>
        <v>0</v>
      </c>
      <c r="V40" s="620" cm="1">
        <f t="array" aca="1" ref="V40" ca="1">IF(AUTOEVENTO="Manual",ROUND(SUMPRODUCT((CÁLCULO!$M$15:$M$44=EVENTOS!$C40)*(OFFSET(CÁLCULO!$AA$15:$AA$44,0,V$13))),2),0)</f>
        <v>0</v>
      </c>
      <c r="W40" s="620" cm="1">
        <f t="array" aca="1" ref="W40" ca="1">IF(AUTOEVENTO="Manual",ROUND(SUMPRODUCT((CÁLCULO!$M$15:$M$44=EVENTOS!$C40)*(OFFSET(CÁLCULO!$AA$15:$AA$44,0,W$13))),2),0)</f>
        <v>0</v>
      </c>
      <c r="X40" s="620" cm="1">
        <f t="array" aca="1" ref="X40" ca="1">IF(AUTOEVENTO="Manual",ROUND(SUMPRODUCT((CÁLCULO!$M$15:$M$44=EVENTOS!$C40)*(OFFSET(CÁLCULO!$AA$15:$AA$44,0,X$13))),2),0)</f>
        <v>0</v>
      </c>
      <c r="Y40" s="620" cm="1">
        <f t="array" aca="1" ref="Y40" ca="1">IF(AUTOEVENTO="Manual",ROUND(SUMPRODUCT((CÁLCULO!$M$15:$M$44=EVENTOS!$C40)*(OFFSET(CÁLCULO!$AA$15:$AA$44,0,Y$13))),2),0)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IF(AUTOEVENTO="Manual",ROUND(SUMPRODUCT((CÁLCULO!$M$15:$M$44=EVENTOS!$C41)*(OFFSET(CÁLCULO!$AA$15:$AA$44,0,E$13))),2),0)</f>
        <v>0</v>
      </c>
      <c r="F41" s="183">
        <f ca="1">IF(AUTOEVENTO="Manual",ROUND(SUMPRODUCT((CÁLCULO!$M$15:$M$44=EVENTOS!$C41)*(OFFSET(CÁLCULO!$AA$15,0,1):OFFSET(CÁLCULO!$AL$44,0,-1))),2),0)</f>
        <v>0</v>
      </c>
      <c r="G41" s="621" t="str">
        <f t="shared" ca="1" si="5"/>
        <v/>
      </c>
      <c r="H41" s="620" cm="1">
        <f t="array" aca="1" ref="H41" ca="1">IF(AUTOEVENTO="Manual",ROUND(SUMPRODUCT((CÁLCULO!$M$15:$M$44=EVENTOS!$C41)*(OFFSET(CÁLCULO!$AA$15:$AA$44,0,H$13))),2),0)</f>
        <v>0</v>
      </c>
      <c r="I41" s="620" cm="1">
        <f t="array" aca="1" ref="I41" ca="1">IF(AUTOEVENTO="Manual",ROUND(SUMPRODUCT((CÁLCULO!$M$15:$M$44=EVENTOS!$C41)*(OFFSET(CÁLCULO!$AA$15:$AA$44,0,I$13))),2),0)</f>
        <v>0</v>
      </c>
      <c r="J41" s="620" cm="1">
        <f t="array" aca="1" ref="J41" ca="1">IF(AUTOEVENTO="Manual",ROUND(SUMPRODUCT((CÁLCULO!$M$15:$M$44=EVENTOS!$C41)*(OFFSET(CÁLCULO!$AA$15:$AA$44,0,J$13))),2),0)</f>
        <v>0</v>
      </c>
      <c r="K41" s="620" cm="1">
        <f t="array" aca="1" ref="K41" ca="1">IF(AUTOEVENTO="Manual",ROUND(SUMPRODUCT((CÁLCULO!$M$15:$M$44=EVENTOS!$C41)*(OFFSET(CÁLCULO!$AA$15:$AA$44,0,K$13))),2),0)</f>
        <v>0</v>
      </c>
      <c r="L41" s="620" cm="1">
        <f t="array" aca="1" ref="L41" ca="1">IF(AUTOEVENTO="Manual",ROUND(SUMPRODUCT((CÁLCULO!$M$15:$M$44=EVENTOS!$C41)*(OFFSET(CÁLCULO!$AA$15:$AA$44,0,L$13))),2),0)</f>
        <v>0</v>
      </c>
      <c r="M41" s="620" cm="1">
        <f t="array" aca="1" ref="M41" ca="1">IF(AUTOEVENTO="Manual",ROUND(SUMPRODUCT((CÁLCULO!$M$15:$M$44=EVENTOS!$C41)*(OFFSET(CÁLCULO!$AA$15:$AA$44,0,M$13))),2),0)</f>
        <v>0</v>
      </c>
      <c r="N41" s="620" cm="1">
        <f t="array" aca="1" ref="N41" ca="1">IF(AUTOEVENTO="Manual",ROUND(SUMPRODUCT((CÁLCULO!$M$15:$M$44=EVENTOS!$C41)*(OFFSET(CÁLCULO!$AA$15:$AA$44,0,N$13))),2),0)</f>
        <v>0</v>
      </c>
      <c r="O41" s="620" cm="1">
        <f t="array" aca="1" ref="O41" ca="1">IF(AUTOEVENTO="Manual",ROUND(SUMPRODUCT((CÁLCULO!$M$15:$M$44=EVENTOS!$C41)*(OFFSET(CÁLCULO!$AA$15:$AA$44,0,O$13))),2),0)</f>
        <v>0</v>
      </c>
      <c r="P41" s="620" cm="1">
        <f t="array" aca="1" ref="P41" ca="1">IF(AUTOEVENTO="Manual",ROUND(SUMPRODUCT((CÁLCULO!$M$15:$M$44=EVENTOS!$C41)*(OFFSET(CÁLCULO!$AA$15:$AA$44,0,P$13))),2),0)</f>
        <v>0</v>
      </c>
      <c r="Q41" s="620" cm="1">
        <f t="array" aca="1" ref="Q41" ca="1">IF(AUTOEVENTO="Manual",ROUND(SUMPRODUCT((CÁLCULO!$M$15:$M$44=EVENTOS!$C41)*(OFFSET(CÁLCULO!$AA$15:$AA$44,0,Q$13))),2),0)</f>
        <v>0</v>
      </c>
      <c r="R41" s="620" cm="1">
        <f t="array" aca="1" ref="R41" ca="1">IF(AUTOEVENTO="Manual",ROUND(SUMPRODUCT((CÁLCULO!$M$15:$M$44=EVENTOS!$C41)*(OFFSET(CÁLCULO!$AA$15:$AA$44,0,R$13))),2),0)</f>
        <v>0</v>
      </c>
      <c r="S41" s="620" cm="1">
        <f t="array" aca="1" ref="S41" ca="1">IF(AUTOEVENTO="Manual",ROUND(SUMPRODUCT((CÁLCULO!$M$15:$M$44=EVENTOS!$C41)*(OFFSET(CÁLCULO!$AA$15:$AA$44,0,S$13))),2),0)</f>
        <v>0</v>
      </c>
      <c r="T41" s="620" cm="1">
        <f t="array" aca="1" ref="T41" ca="1">IF(AUTOEVENTO="Manual",ROUND(SUMPRODUCT((CÁLCULO!$M$15:$M$44=EVENTOS!$C41)*(OFFSET(CÁLCULO!$AA$15:$AA$44,0,T$13))),2),0)</f>
        <v>0</v>
      </c>
      <c r="U41" s="620" cm="1">
        <f t="array" aca="1" ref="U41" ca="1">IF(AUTOEVENTO="Manual",ROUND(SUMPRODUCT((CÁLCULO!$M$15:$M$44=EVENTOS!$C41)*(OFFSET(CÁLCULO!$AA$15:$AA$44,0,U$13))),2),0)</f>
        <v>0</v>
      </c>
      <c r="V41" s="620" cm="1">
        <f t="array" aca="1" ref="V41" ca="1">IF(AUTOEVENTO="Manual",ROUND(SUMPRODUCT((CÁLCULO!$M$15:$M$44=EVENTOS!$C41)*(OFFSET(CÁLCULO!$AA$15:$AA$44,0,V$13))),2),0)</f>
        <v>0</v>
      </c>
      <c r="W41" s="620" cm="1">
        <f t="array" aca="1" ref="W41" ca="1">IF(AUTOEVENTO="Manual",ROUND(SUMPRODUCT((CÁLCULO!$M$15:$M$44=EVENTOS!$C41)*(OFFSET(CÁLCULO!$AA$15:$AA$44,0,W$13))),2),0)</f>
        <v>0</v>
      </c>
      <c r="X41" s="620" cm="1">
        <f t="array" aca="1" ref="X41" ca="1">IF(AUTOEVENTO="Manual",ROUND(SUMPRODUCT((CÁLCULO!$M$15:$M$44=EVENTOS!$C41)*(OFFSET(CÁLCULO!$AA$15:$AA$44,0,X$13))),2),0)</f>
        <v>0</v>
      </c>
      <c r="Y41" s="620" cm="1">
        <f t="array" aca="1" ref="Y41" ca="1">IF(AUTOEVENTO="Manual",ROUND(SUMPRODUCT((CÁLCULO!$M$15:$M$44=EVENTOS!$C41)*(OFFSET(CÁLCULO!$AA$15:$AA$44,0,Y$13))),2),0)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IF(AUTOEVENTO="Manual",ROUND(SUMPRODUCT((CÁLCULO!$M$15:$M$44=EVENTOS!$C42)*(OFFSET(CÁLCULO!$AA$15:$AA$44,0,E$13))),2),0)</f>
        <v>0</v>
      </c>
      <c r="F42" s="183">
        <f ca="1">IF(AUTOEVENTO="Manual",ROUND(SUMPRODUCT((CÁLCULO!$M$15:$M$44=EVENTOS!$C42)*(OFFSET(CÁLCULO!$AA$15,0,1):OFFSET(CÁLCULO!$AL$44,0,-1))),2),0)</f>
        <v>0</v>
      </c>
      <c r="G42" s="621" t="str">
        <f t="shared" ca="1" si="5"/>
        <v/>
      </c>
      <c r="H42" s="620" cm="1">
        <f t="array" aca="1" ref="H42" ca="1">IF(AUTOEVENTO="Manual",ROUND(SUMPRODUCT((CÁLCULO!$M$15:$M$44=EVENTOS!$C42)*(OFFSET(CÁLCULO!$AA$15:$AA$44,0,H$13))),2),0)</f>
        <v>0</v>
      </c>
      <c r="I42" s="620" cm="1">
        <f t="array" aca="1" ref="I42" ca="1">IF(AUTOEVENTO="Manual",ROUND(SUMPRODUCT((CÁLCULO!$M$15:$M$44=EVENTOS!$C42)*(OFFSET(CÁLCULO!$AA$15:$AA$44,0,I$13))),2),0)</f>
        <v>0</v>
      </c>
      <c r="J42" s="620" cm="1">
        <f t="array" aca="1" ref="J42" ca="1">IF(AUTOEVENTO="Manual",ROUND(SUMPRODUCT((CÁLCULO!$M$15:$M$44=EVENTOS!$C42)*(OFFSET(CÁLCULO!$AA$15:$AA$44,0,J$13))),2),0)</f>
        <v>0</v>
      </c>
      <c r="K42" s="620" cm="1">
        <f t="array" aca="1" ref="K42" ca="1">IF(AUTOEVENTO="Manual",ROUND(SUMPRODUCT((CÁLCULO!$M$15:$M$44=EVENTOS!$C42)*(OFFSET(CÁLCULO!$AA$15:$AA$44,0,K$13))),2),0)</f>
        <v>0</v>
      </c>
      <c r="L42" s="620" cm="1">
        <f t="array" aca="1" ref="L42" ca="1">IF(AUTOEVENTO="Manual",ROUND(SUMPRODUCT((CÁLCULO!$M$15:$M$44=EVENTOS!$C42)*(OFFSET(CÁLCULO!$AA$15:$AA$44,0,L$13))),2),0)</f>
        <v>0</v>
      </c>
      <c r="M42" s="620" cm="1">
        <f t="array" aca="1" ref="M42" ca="1">IF(AUTOEVENTO="Manual",ROUND(SUMPRODUCT((CÁLCULO!$M$15:$M$44=EVENTOS!$C42)*(OFFSET(CÁLCULO!$AA$15:$AA$44,0,M$13))),2),0)</f>
        <v>0</v>
      </c>
      <c r="N42" s="620" cm="1">
        <f t="array" aca="1" ref="N42" ca="1">IF(AUTOEVENTO="Manual",ROUND(SUMPRODUCT((CÁLCULO!$M$15:$M$44=EVENTOS!$C42)*(OFFSET(CÁLCULO!$AA$15:$AA$44,0,N$13))),2),0)</f>
        <v>0</v>
      </c>
      <c r="O42" s="620" cm="1">
        <f t="array" aca="1" ref="O42" ca="1">IF(AUTOEVENTO="Manual",ROUND(SUMPRODUCT((CÁLCULO!$M$15:$M$44=EVENTOS!$C42)*(OFFSET(CÁLCULO!$AA$15:$AA$44,0,O$13))),2),0)</f>
        <v>0</v>
      </c>
      <c r="P42" s="620" cm="1">
        <f t="array" aca="1" ref="P42" ca="1">IF(AUTOEVENTO="Manual",ROUND(SUMPRODUCT((CÁLCULO!$M$15:$M$44=EVENTOS!$C42)*(OFFSET(CÁLCULO!$AA$15:$AA$44,0,P$13))),2),0)</f>
        <v>0</v>
      </c>
      <c r="Q42" s="620" cm="1">
        <f t="array" aca="1" ref="Q42" ca="1">IF(AUTOEVENTO="Manual",ROUND(SUMPRODUCT((CÁLCULO!$M$15:$M$44=EVENTOS!$C42)*(OFFSET(CÁLCULO!$AA$15:$AA$44,0,Q$13))),2),0)</f>
        <v>0</v>
      </c>
      <c r="R42" s="620" cm="1">
        <f t="array" aca="1" ref="R42" ca="1">IF(AUTOEVENTO="Manual",ROUND(SUMPRODUCT((CÁLCULO!$M$15:$M$44=EVENTOS!$C42)*(OFFSET(CÁLCULO!$AA$15:$AA$44,0,R$13))),2),0)</f>
        <v>0</v>
      </c>
      <c r="S42" s="620" cm="1">
        <f t="array" aca="1" ref="S42" ca="1">IF(AUTOEVENTO="Manual",ROUND(SUMPRODUCT((CÁLCULO!$M$15:$M$44=EVENTOS!$C42)*(OFFSET(CÁLCULO!$AA$15:$AA$44,0,S$13))),2),0)</f>
        <v>0</v>
      </c>
      <c r="T42" s="620" cm="1">
        <f t="array" aca="1" ref="T42" ca="1">IF(AUTOEVENTO="Manual",ROUND(SUMPRODUCT((CÁLCULO!$M$15:$M$44=EVENTOS!$C42)*(OFFSET(CÁLCULO!$AA$15:$AA$44,0,T$13))),2),0)</f>
        <v>0</v>
      </c>
      <c r="U42" s="620" cm="1">
        <f t="array" aca="1" ref="U42" ca="1">IF(AUTOEVENTO="Manual",ROUND(SUMPRODUCT((CÁLCULO!$M$15:$M$44=EVENTOS!$C42)*(OFFSET(CÁLCULO!$AA$15:$AA$44,0,U$13))),2),0)</f>
        <v>0</v>
      </c>
      <c r="V42" s="620" cm="1">
        <f t="array" aca="1" ref="V42" ca="1">IF(AUTOEVENTO="Manual",ROUND(SUMPRODUCT((CÁLCULO!$M$15:$M$44=EVENTOS!$C42)*(OFFSET(CÁLCULO!$AA$15:$AA$44,0,V$13))),2),0)</f>
        <v>0</v>
      </c>
      <c r="W42" s="620" cm="1">
        <f t="array" aca="1" ref="W42" ca="1">IF(AUTOEVENTO="Manual",ROUND(SUMPRODUCT((CÁLCULO!$M$15:$M$44=EVENTOS!$C42)*(OFFSET(CÁLCULO!$AA$15:$AA$44,0,W$13))),2),0)</f>
        <v>0</v>
      </c>
      <c r="X42" s="620" cm="1">
        <f t="array" aca="1" ref="X42" ca="1">IF(AUTOEVENTO="Manual",ROUND(SUMPRODUCT((CÁLCULO!$M$15:$M$44=EVENTOS!$C42)*(OFFSET(CÁLCULO!$AA$15:$AA$44,0,X$13))),2),0)</f>
        <v>0</v>
      </c>
      <c r="Y42" s="620" cm="1">
        <f t="array" aca="1" ref="Y42" ca="1">IF(AUTOEVENTO="Manual",ROUND(SUMPRODUCT((CÁLCULO!$M$15:$M$44=EVENTOS!$C42)*(OFFSET(CÁLCULO!$AA$15:$AA$44,0,Y$13))),2),0)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IF(AUTOEVENTO="Manual",ROUND(SUMPRODUCT((CÁLCULO!$M$15:$M$44=EVENTOS!$C43)*(OFFSET(CÁLCULO!$AA$15:$AA$44,0,E$13))),2),0)</f>
        <v>0</v>
      </c>
      <c r="F43" s="183">
        <f ca="1">IF(AUTOEVENTO="Manual",ROUND(SUMPRODUCT((CÁLCULO!$M$15:$M$44=EVENTOS!$C43)*(OFFSET(CÁLCULO!$AA$15,0,1):OFFSET(CÁLCULO!$AL$44,0,-1))),2),0)</f>
        <v>0</v>
      </c>
      <c r="G43" s="621" t="str">
        <f t="shared" ca="1" si="5"/>
        <v/>
      </c>
      <c r="H43" s="620" cm="1">
        <f t="array" aca="1" ref="H43" ca="1">IF(AUTOEVENTO="Manual",ROUND(SUMPRODUCT((CÁLCULO!$M$15:$M$44=EVENTOS!$C43)*(OFFSET(CÁLCULO!$AA$15:$AA$44,0,H$13))),2),0)</f>
        <v>0</v>
      </c>
      <c r="I43" s="620" cm="1">
        <f t="array" aca="1" ref="I43" ca="1">IF(AUTOEVENTO="Manual",ROUND(SUMPRODUCT((CÁLCULO!$M$15:$M$44=EVENTOS!$C43)*(OFFSET(CÁLCULO!$AA$15:$AA$44,0,I$13))),2),0)</f>
        <v>0</v>
      </c>
      <c r="J43" s="620" cm="1">
        <f t="array" aca="1" ref="J43" ca="1">IF(AUTOEVENTO="Manual",ROUND(SUMPRODUCT((CÁLCULO!$M$15:$M$44=EVENTOS!$C43)*(OFFSET(CÁLCULO!$AA$15:$AA$44,0,J$13))),2),0)</f>
        <v>0</v>
      </c>
      <c r="K43" s="620" cm="1">
        <f t="array" aca="1" ref="K43" ca="1">IF(AUTOEVENTO="Manual",ROUND(SUMPRODUCT((CÁLCULO!$M$15:$M$44=EVENTOS!$C43)*(OFFSET(CÁLCULO!$AA$15:$AA$44,0,K$13))),2),0)</f>
        <v>0</v>
      </c>
      <c r="L43" s="620" cm="1">
        <f t="array" aca="1" ref="L43" ca="1">IF(AUTOEVENTO="Manual",ROUND(SUMPRODUCT((CÁLCULO!$M$15:$M$44=EVENTOS!$C43)*(OFFSET(CÁLCULO!$AA$15:$AA$44,0,L$13))),2),0)</f>
        <v>0</v>
      </c>
      <c r="M43" s="620" cm="1">
        <f t="array" aca="1" ref="M43" ca="1">IF(AUTOEVENTO="Manual",ROUND(SUMPRODUCT((CÁLCULO!$M$15:$M$44=EVENTOS!$C43)*(OFFSET(CÁLCULO!$AA$15:$AA$44,0,M$13))),2),0)</f>
        <v>0</v>
      </c>
      <c r="N43" s="620" cm="1">
        <f t="array" aca="1" ref="N43" ca="1">IF(AUTOEVENTO="Manual",ROUND(SUMPRODUCT((CÁLCULO!$M$15:$M$44=EVENTOS!$C43)*(OFFSET(CÁLCULO!$AA$15:$AA$44,0,N$13))),2),0)</f>
        <v>0</v>
      </c>
      <c r="O43" s="620" cm="1">
        <f t="array" aca="1" ref="O43" ca="1">IF(AUTOEVENTO="Manual",ROUND(SUMPRODUCT((CÁLCULO!$M$15:$M$44=EVENTOS!$C43)*(OFFSET(CÁLCULO!$AA$15:$AA$44,0,O$13))),2),0)</f>
        <v>0</v>
      </c>
      <c r="P43" s="620" cm="1">
        <f t="array" aca="1" ref="P43" ca="1">IF(AUTOEVENTO="Manual",ROUND(SUMPRODUCT((CÁLCULO!$M$15:$M$44=EVENTOS!$C43)*(OFFSET(CÁLCULO!$AA$15:$AA$44,0,P$13))),2),0)</f>
        <v>0</v>
      </c>
      <c r="Q43" s="620" cm="1">
        <f t="array" aca="1" ref="Q43" ca="1">IF(AUTOEVENTO="Manual",ROUND(SUMPRODUCT((CÁLCULO!$M$15:$M$44=EVENTOS!$C43)*(OFFSET(CÁLCULO!$AA$15:$AA$44,0,Q$13))),2),0)</f>
        <v>0</v>
      </c>
      <c r="R43" s="620" cm="1">
        <f t="array" aca="1" ref="R43" ca="1">IF(AUTOEVENTO="Manual",ROUND(SUMPRODUCT((CÁLCULO!$M$15:$M$44=EVENTOS!$C43)*(OFFSET(CÁLCULO!$AA$15:$AA$44,0,R$13))),2),0)</f>
        <v>0</v>
      </c>
      <c r="S43" s="620" cm="1">
        <f t="array" aca="1" ref="S43" ca="1">IF(AUTOEVENTO="Manual",ROUND(SUMPRODUCT((CÁLCULO!$M$15:$M$44=EVENTOS!$C43)*(OFFSET(CÁLCULO!$AA$15:$AA$44,0,S$13))),2),0)</f>
        <v>0</v>
      </c>
      <c r="T43" s="620" cm="1">
        <f t="array" aca="1" ref="T43" ca="1">IF(AUTOEVENTO="Manual",ROUND(SUMPRODUCT((CÁLCULO!$M$15:$M$44=EVENTOS!$C43)*(OFFSET(CÁLCULO!$AA$15:$AA$44,0,T$13))),2),0)</f>
        <v>0</v>
      </c>
      <c r="U43" s="620" cm="1">
        <f t="array" aca="1" ref="U43" ca="1">IF(AUTOEVENTO="Manual",ROUND(SUMPRODUCT((CÁLCULO!$M$15:$M$44=EVENTOS!$C43)*(OFFSET(CÁLCULO!$AA$15:$AA$44,0,U$13))),2),0)</f>
        <v>0</v>
      </c>
      <c r="V43" s="620" cm="1">
        <f t="array" aca="1" ref="V43" ca="1">IF(AUTOEVENTO="Manual",ROUND(SUMPRODUCT((CÁLCULO!$M$15:$M$44=EVENTOS!$C43)*(OFFSET(CÁLCULO!$AA$15:$AA$44,0,V$13))),2),0)</f>
        <v>0</v>
      </c>
      <c r="W43" s="620" cm="1">
        <f t="array" aca="1" ref="W43" ca="1">IF(AUTOEVENTO="Manual",ROUND(SUMPRODUCT((CÁLCULO!$M$15:$M$44=EVENTOS!$C43)*(OFFSET(CÁLCULO!$AA$15:$AA$44,0,W$13))),2),0)</f>
        <v>0</v>
      </c>
      <c r="X43" s="620" cm="1">
        <f t="array" aca="1" ref="X43" ca="1">IF(AUTOEVENTO="Manual",ROUND(SUMPRODUCT((CÁLCULO!$M$15:$M$44=EVENTOS!$C43)*(OFFSET(CÁLCULO!$AA$15:$AA$44,0,X$13))),2),0)</f>
        <v>0</v>
      </c>
      <c r="Y43" s="620" cm="1">
        <f t="array" aca="1" ref="Y43" ca="1">IF(AUTOEVENTO="Manual",ROUND(SUMPRODUCT((CÁLCULO!$M$15:$M$44=EVENTOS!$C43)*(OFFSET(CÁLCULO!$AA$15:$AA$44,0,Y$13))),2),0)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IF(AUTOEVENTO="Manual",ROUND(SUMPRODUCT((CÁLCULO!$M$15:$M$44=EVENTOS!$C44)*(OFFSET(CÁLCULO!$AA$15:$AA$44,0,E$13))),2),0)</f>
        <v>0</v>
      </c>
      <c r="F44" s="183">
        <f ca="1">IF(AUTOEVENTO="Manual",ROUND(SUMPRODUCT((CÁLCULO!$M$15:$M$44=EVENTOS!$C44)*(OFFSET(CÁLCULO!$AA$15,0,1):OFFSET(CÁLCULO!$AL$44,0,-1))),2),0)</f>
        <v>0</v>
      </c>
      <c r="G44" s="621" t="str">
        <f t="shared" ca="1" si="5"/>
        <v/>
      </c>
      <c r="H44" s="620" cm="1">
        <f t="array" aca="1" ref="H44" ca="1">IF(AUTOEVENTO="Manual",ROUND(SUMPRODUCT((CÁLCULO!$M$15:$M$44=EVENTOS!$C44)*(OFFSET(CÁLCULO!$AA$15:$AA$44,0,H$13))),2),0)</f>
        <v>0</v>
      </c>
      <c r="I44" s="620" cm="1">
        <f t="array" aca="1" ref="I44" ca="1">IF(AUTOEVENTO="Manual",ROUND(SUMPRODUCT((CÁLCULO!$M$15:$M$44=EVENTOS!$C44)*(OFFSET(CÁLCULO!$AA$15:$AA$44,0,I$13))),2),0)</f>
        <v>0</v>
      </c>
      <c r="J44" s="620" cm="1">
        <f t="array" aca="1" ref="J44" ca="1">IF(AUTOEVENTO="Manual",ROUND(SUMPRODUCT((CÁLCULO!$M$15:$M$44=EVENTOS!$C44)*(OFFSET(CÁLCULO!$AA$15:$AA$44,0,J$13))),2),0)</f>
        <v>0</v>
      </c>
      <c r="K44" s="620" cm="1">
        <f t="array" aca="1" ref="K44" ca="1">IF(AUTOEVENTO="Manual",ROUND(SUMPRODUCT((CÁLCULO!$M$15:$M$44=EVENTOS!$C44)*(OFFSET(CÁLCULO!$AA$15:$AA$44,0,K$13))),2),0)</f>
        <v>0</v>
      </c>
      <c r="L44" s="620" cm="1">
        <f t="array" aca="1" ref="L44" ca="1">IF(AUTOEVENTO="Manual",ROUND(SUMPRODUCT((CÁLCULO!$M$15:$M$44=EVENTOS!$C44)*(OFFSET(CÁLCULO!$AA$15:$AA$44,0,L$13))),2),0)</f>
        <v>0</v>
      </c>
      <c r="M44" s="620" cm="1">
        <f t="array" aca="1" ref="M44" ca="1">IF(AUTOEVENTO="Manual",ROUND(SUMPRODUCT((CÁLCULO!$M$15:$M$44=EVENTOS!$C44)*(OFFSET(CÁLCULO!$AA$15:$AA$44,0,M$13))),2),0)</f>
        <v>0</v>
      </c>
      <c r="N44" s="620" cm="1">
        <f t="array" aca="1" ref="N44" ca="1">IF(AUTOEVENTO="Manual",ROUND(SUMPRODUCT((CÁLCULO!$M$15:$M$44=EVENTOS!$C44)*(OFFSET(CÁLCULO!$AA$15:$AA$44,0,N$13))),2),0)</f>
        <v>0</v>
      </c>
      <c r="O44" s="620" cm="1">
        <f t="array" aca="1" ref="O44" ca="1">IF(AUTOEVENTO="Manual",ROUND(SUMPRODUCT((CÁLCULO!$M$15:$M$44=EVENTOS!$C44)*(OFFSET(CÁLCULO!$AA$15:$AA$44,0,O$13))),2),0)</f>
        <v>0</v>
      </c>
      <c r="P44" s="620" cm="1">
        <f t="array" aca="1" ref="P44" ca="1">IF(AUTOEVENTO="Manual",ROUND(SUMPRODUCT((CÁLCULO!$M$15:$M$44=EVENTOS!$C44)*(OFFSET(CÁLCULO!$AA$15:$AA$44,0,P$13))),2),0)</f>
        <v>0</v>
      </c>
      <c r="Q44" s="620" cm="1">
        <f t="array" aca="1" ref="Q44" ca="1">IF(AUTOEVENTO="Manual",ROUND(SUMPRODUCT((CÁLCULO!$M$15:$M$44=EVENTOS!$C44)*(OFFSET(CÁLCULO!$AA$15:$AA$44,0,Q$13))),2),0)</f>
        <v>0</v>
      </c>
      <c r="R44" s="620" cm="1">
        <f t="array" aca="1" ref="R44" ca="1">IF(AUTOEVENTO="Manual",ROUND(SUMPRODUCT((CÁLCULO!$M$15:$M$44=EVENTOS!$C44)*(OFFSET(CÁLCULO!$AA$15:$AA$44,0,R$13))),2),0)</f>
        <v>0</v>
      </c>
      <c r="S44" s="620" cm="1">
        <f t="array" aca="1" ref="S44" ca="1">IF(AUTOEVENTO="Manual",ROUND(SUMPRODUCT((CÁLCULO!$M$15:$M$44=EVENTOS!$C44)*(OFFSET(CÁLCULO!$AA$15:$AA$44,0,S$13))),2),0)</f>
        <v>0</v>
      </c>
      <c r="T44" s="620" cm="1">
        <f t="array" aca="1" ref="T44" ca="1">IF(AUTOEVENTO="Manual",ROUND(SUMPRODUCT((CÁLCULO!$M$15:$M$44=EVENTOS!$C44)*(OFFSET(CÁLCULO!$AA$15:$AA$44,0,T$13))),2),0)</f>
        <v>0</v>
      </c>
      <c r="U44" s="620" cm="1">
        <f t="array" aca="1" ref="U44" ca="1">IF(AUTOEVENTO="Manual",ROUND(SUMPRODUCT((CÁLCULO!$M$15:$M$44=EVENTOS!$C44)*(OFFSET(CÁLCULO!$AA$15:$AA$44,0,U$13))),2),0)</f>
        <v>0</v>
      </c>
      <c r="V44" s="620" cm="1">
        <f t="array" aca="1" ref="V44" ca="1">IF(AUTOEVENTO="Manual",ROUND(SUMPRODUCT((CÁLCULO!$M$15:$M$44=EVENTOS!$C44)*(OFFSET(CÁLCULO!$AA$15:$AA$44,0,V$13))),2),0)</f>
        <v>0</v>
      </c>
      <c r="W44" s="620" cm="1">
        <f t="array" aca="1" ref="W44" ca="1">IF(AUTOEVENTO="Manual",ROUND(SUMPRODUCT((CÁLCULO!$M$15:$M$44=EVENTOS!$C44)*(OFFSET(CÁLCULO!$AA$15:$AA$44,0,W$13))),2),0)</f>
        <v>0</v>
      </c>
      <c r="X44" s="620" cm="1">
        <f t="array" aca="1" ref="X44" ca="1">IF(AUTOEVENTO="Manual",ROUND(SUMPRODUCT((CÁLCULO!$M$15:$M$44=EVENTOS!$C44)*(OFFSET(CÁLCULO!$AA$15:$AA$44,0,X$13))),2),0)</f>
        <v>0</v>
      </c>
      <c r="Y44" s="620" cm="1">
        <f t="array" aca="1" ref="Y44" ca="1">IF(AUTOEVENTO="Manual",ROUND(SUMPRODUCT((CÁLCULO!$M$15:$M$44=EVENTOS!$C44)*(OFFSET(CÁLCULO!$AA$15:$AA$44,0,Y$13))),2),0)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IF(AUTOEVENTO="Manual",ROUND(SUMPRODUCT((CÁLCULO!$M$15:$M$44=EVENTOS!$C45)*(OFFSET(CÁLCULO!$AA$15:$AA$44,0,E$13))),2),0)</f>
        <v>0</v>
      </c>
      <c r="F45" s="183">
        <f ca="1">IF(AUTOEVENTO="Manual",ROUND(SUMPRODUCT((CÁLCULO!$M$15:$M$44=EVENTOS!$C45)*(OFFSET(CÁLCULO!$AA$15,0,1):OFFSET(CÁLCULO!$AL$44,0,-1))),2),0)</f>
        <v>0</v>
      </c>
      <c r="G45" s="621" t="str">
        <f t="shared" ca="1" si="5"/>
        <v/>
      </c>
      <c r="H45" s="620" cm="1">
        <f t="array" aca="1" ref="H45" ca="1">IF(AUTOEVENTO="Manual",ROUND(SUMPRODUCT((CÁLCULO!$M$15:$M$44=EVENTOS!$C45)*(OFFSET(CÁLCULO!$AA$15:$AA$44,0,H$13))),2),0)</f>
        <v>0</v>
      </c>
      <c r="I45" s="620" cm="1">
        <f t="array" aca="1" ref="I45" ca="1">IF(AUTOEVENTO="Manual",ROUND(SUMPRODUCT((CÁLCULO!$M$15:$M$44=EVENTOS!$C45)*(OFFSET(CÁLCULO!$AA$15:$AA$44,0,I$13))),2),0)</f>
        <v>0</v>
      </c>
      <c r="J45" s="620" cm="1">
        <f t="array" aca="1" ref="J45" ca="1">IF(AUTOEVENTO="Manual",ROUND(SUMPRODUCT((CÁLCULO!$M$15:$M$44=EVENTOS!$C45)*(OFFSET(CÁLCULO!$AA$15:$AA$44,0,J$13))),2),0)</f>
        <v>0</v>
      </c>
      <c r="K45" s="620" cm="1">
        <f t="array" aca="1" ref="K45" ca="1">IF(AUTOEVENTO="Manual",ROUND(SUMPRODUCT((CÁLCULO!$M$15:$M$44=EVENTOS!$C45)*(OFFSET(CÁLCULO!$AA$15:$AA$44,0,K$13))),2),0)</f>
        <v>0</v>
      </c>
      <c r="L45" s="620" cm="1">
        <f t="array" aca="1" ref="L45" ca="1">IF(AUTOEVENTO="Manual",ROUND(SUMPRODUCT((CÁLCULO!$M$15:$M$44=EVENTOS!$C45)*(OFFSET(CÁLCULO!$AA$15:$AA$44,0,L$13))),2),0)</f>
        <v>0</v>
      </c>
      <c r="M45" s="620" cm="1">
        <f t="array" aca="1" ref="M45" ca="1">IF(AUTOEVENTO="Manual",ROUND(SUMPRODUCT((CÁLCULO!$M$15:$M$44=EVENTOS!$C45)*(OFFSET(CÁLCULO!$AA$15:$AA$44,0,M$13))),2),0)</f>
        <v>0</v>
      </c>
      <c r="N45" s="620" cm="1">
        <f t="array" aca="1" ref="N45" ca="1">IF(AUTOEVENTO="Manual",ROUND(SUMPRODUCT((CÁLCULO!$M$15:$M$44=EVENTOS!$C45)*(OFFSET(CÁLCULO!$AA$15:$AA$44,0,N$13))),2),0)</f>
        <v>0</v>
      </c>
      <c r="O45" s="620" cm="1">
        <f t="array" aca="1" ref="O45" ca="1">IF(AUTOEVENTO="Manual",ROUND(SUMPRODUCT((CÁLCULO!$M$15:$M$44=EVENTOS!$C45)*(OFFSET(CÁLCULO!$AA$15:$AA$44,0,O$13))),2),0)</f>
        <v>0</v>
      </c>
      <c r="P45" s="620" cm="1">
        <f t="array" aca="1" ref="P45" ca="1">IF(AUTOEVENTO="Manual",ROUND(SUMPRODUCT((CÁLCULO!$M$15:$M$44=EVENTOS!$C45)*(OFFSET(CÁLCULO!$AA$15:$AA$44,0,P$13))),2),0)</f>
        <v>0</v>
      </c>
      <c r="Q45" s="620" cm="1">
        <f t="array" aca="1" ref="Q45" ca="1">IF(AUTOEVENTO="Manual",ROUND(SUMPRODUCT((CÁLCULO!$M$15:$M$44=EVENTOS!$C45)*(OFFSET(CÁLCULO!$AA$15:$AA$44,0,Q$13))),2),0)</f>
        <v>0</v>
      </c>
      <c r="R45" s="620" cm="1">
        <f t="array" aca="1" ref="R45" ca="1">IF(AUTOEVENTO="Manual",ROUND(SUMPRODUCT((CÁLCULO!$M$15:$M$44=EVENTOS!$C45)*(OFFSET(CÁLCULO!$AA$15:$AA$44,0,R$13))),2),0)</f>
        <v>0</v>
      </c>
      <c r="S45" s="620" cm="1">
        <f t="array" aca="1" ref="S45" ca="1">IF(AUTOEVENTO="Manual",ROUND(SUMPRODUCT((CÁLCULO!$M$15:$M$44=EVENTOS!$C45)*(OFFSET(CÁLCULO!$AA$15:$AA$44,0,S$13))),2),0)</f>
        <v>0</v>
      </c>
      <c r="T45" s="620" cm="1">
        <f t="array" aca="1" ref="T45" ca="1">IF(AUTOEVENTO="Manual",ROUND(SUMPRODUCT((CÁLCULO!$M$15:$M$44=EVENTOS!$C45)*(OFFSET(CÁLCULO!$AA$15:$AA$44,0,T$13))),2),0)</f>
        <v>0</v>
      </c>
      <c r="U45" s="620" cm="1">
        <f t="array" aca="1" ref="U45" ca="1">IF(AUTOEVENTO="Manual",ROUND(SUMPRODUCT((CÁLCULO!$M$15:$M$44=EVENTOS!$C45)*(OFFSET(CÁLCULO!$AA$15:$AA$44,0,U$13))),2),0)</f>
        <v>0</v>
      </c>
      <c r="V45" s="620" cm="1">
        <f t="array" aca="1" ref="V45" ca="1">IF(AUTOEVENTO="Manual",ROUND(SUMPRODUCT((CÁLCULO!$M$15:$M$44=EVENTOS!$C45)*(OFFSET(CÁLCULO!$AA$15:$AA$44,0,V$13))),2),0)</f>
        <v>0</v>
      </c>
      <c r="W45" s="620" cm="1">
        <f t="array" aca="1" ref="W45" ca="1">IF(AUTOEVENTO="Manual",ROUND(SUMPRODUCT((CÁLCULO!$M$15:$M$44=EVENTOS!$C45)*(OFFSET(CÁLCULO!$AA$15:$AA$44,0,W$13))),2),0)</f>
        <v>0</v>
      </c>
      <c r="X45" s="620" cm="1">
        <f t="array" aca="1" ref="X45" ca="1">IF(AUTOEVENTO="Manual",ROUND(SUMPRODUCT((CÁLCULO!$M$15:$M$44=EVENTOS!$C45)*(OFFSET(CÁLCULO!$AA$15:$AA$44,0,X$13))),2),0)</f>
        <v>0</v>
      </c>
      <c r="Y45" s="620" cm="1">
        <f t="array" aca="1" ref="Y45" ca="1">IF(AUTOEVENTO="Manual",ROUND(SUMPRODUCT((CÁLCULO!$M$15:$M$44=EVENTOS!$C45)*(OFFSET(CÁLCULO!$AA$15:$AA$44,0,Y$13))),2),0)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IF(AUTOEVENTO="Manual",ROUND(SUMPRODUCT((CÁLCULO!$M$15:$M$44=EVENTOS!$C46)*(OFFSET(CÁLCULO!$AA$15:$AA$44,0,E$13))),2),0)</f>
        <v>0</v>
      </c>
      <c r="F46" s="183">
        <f ca="1">IF(AUTOEVENTO="Manual",ROUND(SUMPRODUCT((CÁLCULO!$M$15:$M$44=EVENTOS!$C46)*(OFFSET(CÁLCULO!$AA$15,0,1):OFFSET(CÁLCULO!$AL$44,0,-1))),2),0)</f>
        <v>0</v>
      </c>
      <c r="G46" s="621" t="str">
        <f t="shared" ca="1" si="5"/>
        <v/>
      </c>
      <c r="H46" s="620" cm="1">
        <f t="array" aca="1" ref="H46" ca="1">IF(AUTOEVENTO="Manual",ROUND(SUMPRODUCT((CÁLCULO!$M$15:$M$44=EVENTOS!$C46)*(OFFSET(CÁLCULO!$AA$15:$AA$44,0,H$13))),2),0)</f>
        <v>0</v>
      </c>
      <c r="I46" s="620" cm="1">
        <f t="array" aca="1" ref="I46" ca="1">IF(AUTOEVENTO="Manual",ROUND(SUMPRODUCT((CÁLCULO!$M$15:$M$44=EVENTOS!$C46)*(OFFSET(CÁLCULO!$AA$15:$AA$44,0,I$13))),2),0)</f>
        <v>0</v>
      </c>
      <c r="J46" s="620" cm="1">
        <f t="array" aca="1" ref="J46" ca="1">IF(AUTOEVENTO="Manual",ROUND(SUMPRODUCT((CÁLCULO!$M$15:$M$44=EVENTOS!$C46)*(OFFSET(CÁLCULO!$AA$15:$AA$44,0,J$13))),2),0)</f>
        <v>0</v>
      </c>
      <c r="K46" s="620" cm="1">
        <f t="array" aca="1" ref="K46" ca="1">IF(AUTOEVENTO="Manual",ROUND(SUMPRODUCT((CÁLCULO!$M$15:$M$44=EVENTOS!$C46)*(OFFSET(CÁLCULO!$AA$15:$AA$44,0,K$13))),2),0)</f>
        <v>0</v>
      </c>
      <c r="L46" s="620" cm="1">
        <f t="array" aca="1" ref="L46" ca="1">IF(AUTOEVENTO="Manual",ROUND(SUMPRODUCT((CÁLCULO!$M$15:$M$44=EVENTOS!$C46)*(OFFSET(CÁLCULO!$AA$15:$AA$44,0,L$13))),2),0)</f>
        <v>0</v>
      </c>
      <c r="M46" s="620" cm="1">
        <f t="array" aca="1" ref="M46" ca="1">IF(AUTOEVENTO="Manual",ROUND(SUMPRODUCT((CÁLCULO!$M$15:$M$44=EVENTOS!$C46)*(OFFSET(CÁLCULO!$AA$15:$AA$44,0,M$13))),2),0)</f>
        <v>0</v>
      </c>
      <c r="N46" s="620" cm="1">
        <f t="array" aca="1" ref="N46" ca="1">IF(AUTOEVENTO="Manual",ROUND(SUMPRODUCT((CÁLCULO!$M$15:$M$44=EVENTOS!$C46)*(OFFSET(CÁLCULO!$AA$15:$AA$44,0,N$13))),2),0)</f>
        <v>0</v>
      </c>
      <c r="O46" s="620" cm="1">
        <f t="array" aca="1" ref="O46" ca="1">IF(AUTOEVENTO="Manual",ROUND(SUMPRODUCT((CÁLCULO!$M$15:$M$44=EVENTOS!$C46)*(OFFSET(CÁLCULO!$AA$15:$AA$44,0,O$13))),2),0)</f>
        <v>0</v>
      </c>
      <c r="P46" s="620" cm="1">
        <f t="array" aca="1" ref="P46" ca="1">IF(AUTOEVENTO="Manual",ROUND(SUMPRODUCT((CÁLCULO!$M$15:$M$44=EVENTOS!$C46)*(OFFSET(CÁLCULO!$AA$15:$AA$44,0,P$13))),2),0)</f>
        <v>0</v>
      </c>
      <c r="Q46" s="620" cm="1">
        <f t="array" aca="1" ref="Q46" ca="1">IF(AUTOEVENTO="Manual",ROUND(SUMPRODUCT((CÁLCULO!$M$15:$M$44=EVENTOS!$C46)*(OFFSET(CÁLCULO!$AA$15:$AA$44,0,Q$13))),2),0)</f>
        <v>0</v>
      </c>
      <c r="R46" s="620" cm="1">
        <f t="array" aca="1" ref="R46" ca="1">IF(AUTOEVENTO="Manual",ROUND(SUMPRODUCT((CÁLCULO!$M$15:$M$44=EVENTOS!$C46)*(OFFSET(CÁLCULO!$AA$15:$AA$44,0,R$13))),2),0)</f>
        <v>0</v>
      </c>
      <c r="S46" s="620" cm="1">
        <f t="array" aca="1" ref="S46" ca="1">IF(AUTOEVENTO="Manual",ROUND(SUMPRODUCT((CÁLCULO!$M$15:$M$44=EVENTOS!$C46)*(OFFSET(CÁLCULO!$AA$15:$AA$44,0,S$13))),2),0)</f>
        <v>0</v>
      </c>
      <c r="T46" s="620" cm="1">
        <f t="array" aca="1" ref="T46" ca="1">IF(AUTOEVENTO="Manual",ROUND(SUMPRODUCT((CÁLCULO!$M$15:$M$44=EVENTOS!$C46)*(OFFSET(CÁLCULO!$AA$15:$AA$44,0,T$13))),2),0)</f>
        <v>0</v>
      </c>
      <c r="U46" s="620" cm="1">
        <f t="array" aca="1" ref="U46" ca="1">IF(AUTOEVENTO="Manual",ROUND(SUMPRODUCT((CÁLCULO!$M$15:$M$44=EVENTOS!$C46)*(OFFSET(CÁLCULO!$AA$15:$AA$44,0,U$13))),2),0)</f>
        <v>0</v>
      </c>
      <c r="V46" s="620" cm="1">
        <f t="array" aca="1" ref="V46" ca="1">IF(AUTOEVENTO="Manual",ROUND(SUMPRODUCT((CÁLCULO!$M$15:$M$44=EVENTOS!$C46)*(OFFSET(CÁLCULO!$AA$15:$AA$44,0,V$13))),2),0)</f>
        <v>0</v>
      </c>
      <c r="W46" s="620" cm="1">
        <f t="array" aca="1" ref="W46" ca="1">IF(AUTOEVENTO="Manual",ROUND(SUMPRODUCT((CÁLCULO!$M$15:$M$44=EVENTOS!$C46)*(OFFSET(CÁLCULO!$AA$15:$AA$44,0,W$13))),2),0)</f>
        <v>0</v>
      </c>
      <c r="X46" s="620" cm="1">
        <f t="array" aca="1" ref="X46" ca="1">IF(AUTOEVENTO="Manual",ROUND(SUMPRODUCT((CÁLCULO!$M$15:$M$44=EVENTOS!$C46)*(OFFSET(CÁLCULO!$AA$15:$AA$44,0,X$13))),2),0)</f>
        <v>0</v>
      </c>
      <c r="Y46" s="620" cm="1">
        <f t="array" aca="1" ref="Y46" ca="1">IF(AUTOEVENTO="Manual",ROUND(SUMPRODUCT((CÁLCULO!$M$15:$M$44=EVENTOS!$C46)*(OFFSET(CÁLCULO!$AA$15:$AA$44,0,Y$13))),2),0)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IF(AUTOEVENTO="Manual",ROUND(SUMPRODUCT((CÁLCULO!$M$15:$M$44=EVENTOS!$C47)*(OFFSET(CÁLCULO!$AA$15:$AA$44,0,E$13))),2),0)</f>
        <v>0</v>
      </c>
      <c r="F47" s="183">
        <f ca="1">IF(AUTOEVENTO="Manual",ROUND(SUMPRODUCT((CÁLCULO!$M$15:$M$44=EVENTOS!$C47)*(OFFSET(CÁLCULO!$AA$15,0,1):OFFSET(CÁLCULO!$AL$44,0,-1))),2),0)</f>
        <v>0</v>
      </c>
      <c r="G47" s="621" t="str">
        <f t="shared" ca="1" si="5"/>
        <v/>
      </c>
      <c r="H47" s="620" cm="1">
        <f t="array" aca="1" ref="H47" ca="1">IF(AUTOEVENTO="Manual",ROUND(SUMPRODUCT((CÁLCULO!$M$15:$M$44=EVENTOS!$C47)*(OFFSET(CÁLCULO!$AA$15:$AA$44,0,H$13))),2),0)</f>
        <v>0</v>
      </c>
      <c r="I47" s="620" cm="1">
        <f t="array" aca="1" ref="I47" ca="1">IF(AUTOEVENTO="Manual",ROUND(SUMPRODUCT((CÁLCULO!$M$15:$M$44=EVENTOS!$C47)*(OFFSET(CÁLCULO!$AA$15:$AA$44,0,I$13))),2),0)</f>
        <v>0</v>
      </c>
      <c r="J47" s="620" cm="1">
        <f t="array" aca="1" ref="J47" ca="1">IF(AUTOEVENTO="Manual",ROUND(SUMPRODUCT((CÁLCULO!$M$15:$M$44=EVENTOS!$C47)*(OFFSET(CÁLCULO!$AA$15:$AA$44,0,J$13))),2),0)</f>
        <v>0</v>
      </c>
      <c r="K47" s="620" cm="1">
        <f t="array" aca="1" ref="K47" ca="1">IF(AUTOEVENTO="Manual",ROUND(SUMPRODUCT((CÁLCULO!$M$15:$M$44=EVENTOS!$C47)*(OFFSET(CÁLCULO!$AA$15:$AA$44,0,K$13))),2),0)</f>
        <v>0</v>
      </c>
      <c r="L47" s="620" cm="1">
        <f t="array" aca="1" ref="L47" ca="1">IF(AUTOEVENTO="Manual",ROUND(SUMPRODUCT((CÁLCULO!$M$15:$M$44=EVENTOS!$C47)*(OFFSET(CÁLCULO!$AA$15:$AA$44,0,L$13))),2),0)</f>
        <v>0</v>
      </c>
      <c r="M47" s="620" cm="1">
        <f t="array" aca="1" ref="M47" ca="1">IF(AUTOEVENTO="Manual",ROUND(SUMPRODUCT((CÁLCULO!$M$15:$M$44=EVENTOS!$C47)*(OFFSET(CÁLCULO!$AA$15:$AA$44,0,M$13))),2),0)</f>
        <v>0</v>
      </c>
      <c r="N47" s="620" cm="1">
        <f t="array" aca="1" ref="N47" ca="1">IF(AUTOEVENTO="Manual",ROUND(SUMPRODUCT((CÁLCULO!$M$15:$M$44=EVENTOS!$C47)*(OFFSET(CÁLCULO!$AA$15:$AA$44,0,N$13))),2),0)</f>
        <v>0</v>
      </c>
      <c r="O47" s="620" cm="1">
        <f t="array" aca="1" ref="O47" ca="1">IF(AUTOEVENTO="Manual",ROUND(SUMPRODUCT((CÁLCULO!$M$15:$M$44=EVENTOS!$C47)*(OFFSET(CÁLCULO!$AA$15:$AA$44,0,O$13))),2),0)</f>
        <v>0</v>
      </c>
      <c r="P47" s="620" cm="1">
        <f t="array" aca="1" ref="P47" ca="1">IF(AUTOEVENTO="Manual",ROUND(SUMPRODUCT((CÁLCULO!$M$15:$M$44=EVENTOS!$C47)*(OFFSET(CÁLCULO!$AA$15:$AA$44,0,P$13))),2),0)</f>
        <v>0</v>
      </c>
      <c r="Q47" s="620" cm="1">
        <f t="array" aca="1" ref="Q47" ca="1">IF(AUTOEVENTO="Manual",ROUND(SUMPRODUCT((CÁLCULO!$M$15:$M$44=EVENTOS!$C47)*(OFFSET(CÁLCULO!$AA$15:$AA$44,0,Q$13))),2),0)</f>
        <v>0</v>
      </c>
      <c r="R47" s="620" cm="1">
        <f t="array" aca="1" ref="R47" ca="1">IF(AUTOEVENTO="Manual",ROUND(SUMPRODUCT((CÁLCULO!$M$15:$M$44=EVENTOS!$C47)*(OFFSET(CÁLCULO!$AA$15:$AA$44,0,R$13))),2),0)</f>
        <v>0</v>
      </c>
      <c r="S47" s="620" cm="1">
        <f t="array" aca="1" ref="S47" ca="1">IF(AUTOEVENTO="Manual",ROUND(SUMPRODUCT((CÁLCULO!$M$15:$M$44=EVENTOS!$C47)*(OFFSET(CÁLCULO!$AA$15:$AA$44,0,S$13))),2),0)</f>
        <v>0</v>
      </c>
      <c r="T47" s="620" cm="1">
        <f t="array" aca="1" ref="T47" ca="1">IF(AUTOEVENTO="Manual",ROUND(SUMPRODUCT((CÁLCULO!$M$15:$M$44=EVENTOS!$C47)*(OFFSET(CÁLCULO!$AA$15:$AA$44,0,T$13))),2),0)</f>
        <v>0</v>
      </c>
      <c r="U47" s="620" cm="1">
        <f t="array" aca="1" ref="U47" ca="1">IF(AUTOEVENTO="Manual",ROUND(SUMPRODUCT((CÁLCULO!$M$15:$M$44=EVENTOS!$C47)*(OFFSET(CÁLCULO!$AA$15:$AA$44,0,U$13))),2),0)</f>
        <v>0</v>
      </c>
      <c r="V47" s="620" cm="1">
        <f t="array" aca="1" ref="V47" ca="1">IF(AUTOEVENTO="Manual",ROUND(SUMPRODUCT((CÁLCULO!$M$15:$M$44=EVENTOS!$C47)*(OFFSET(CÁLCULO!$AA$15:$AA$44,0,V$13))),2),0)</f>
        <v>0</v>
      </c>
      <c r="W47" s="620" cm="1">
        <f t="array" aca="1" ref="W47" ca="1">IF(AUTOEVENTO="Manual",ROUND(SUMPRODUCT((CÁLCULO!$M$15:$M$44=EVENTOS!$C47)*(OFFSET(CÁLCULO!$AA$15:$AA$44,0,W$13))),2),0)</f>
        <v>0</v>
      </c>
      <c r="X47" s="620" cm="1">
        <f t="array" aca="1" ref="X47" ca="1">IF(AUTOEVENTO="Manual",ROUND(SUMPRODUCT((CÁLCULO!$M$15:$M$44=EVENTOS!$C47)*(OFFSET(CÁLCULO!$AA$15:$AA$44,0,X$13))),2),0)</f>
        <v>0</v>
      </c>
      <c r="Y47" s="620" cm="1">
        <f t="array" aca="1" ref="Y47" ca="1">IF(AUTOEVENTO="Manual",ROUND(SUMPRODUCT((CÁLCULO!$M$15:$M$44=EVENTOS!$C47)*(OFFSET(CÁLCULO!$AA$15:$AA$44,0,Y$13))),2),0)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IF(AUTOEVENTO="Manual",ROUND(SUMPRODUCT((CÁLCULO!$M$15:$M$44=EVENTOS!$C48)*(OFFSET(CÁLCULO!$AA$15:$AA$44,0,E$13))),2),0)</f>
        <v>0</v>
      </c>
      <c r="F48" s="183">
        <f ca="1">IF(AUTOEVENTO="Manual",ROUND(SUMPRODUCT((CÁLCULO!$M$15:$M$44=EVENTOS!$C48)*(OFFSET(CÁLCULO!$AA$15,0,1):OFFSET(CÁLCULO!$AL$44,0,-1))),2),0)</f>
        <v>0</v>
      </c>
      <c r="G48" s="621" t="str">
        <f t="shared" ref="G48:G64" ca="1" si="6">IF(AND(D48=0,F48&gt;0),"NOME",
 IF(AND(D48&lt;&gt;0,$F$14&gt;0,F48=0),"VALOR",
 IF(AND(Import.TipoArredondamento="TransfereGOV",$A48="F",LEN(D48)&gt;100),"Nome &gt;100","")))</f>
        <v/>
      </c>
      <c r="H48" s="620" cm="1">
        <f t="array" aca="1" ref="H48" ca="1">IF(AUTOEVENTO="Manual",ROUND(SUMPRODUCT((CÁLCULO!$M$15:$M$44=EVENTOS!$C48)*(OFFSET(CÁLCULO!$AA$15:$AA$44,0,H$13))),2),0)</f>
        <v>0</v>
      </c>
      <c r="I48" s="620" cm="1">
        <f t="array" aca="1" ref="I48" ca="1">IF(AUTOEVENTO="Manual",ROUND(SUMPRODUCT((CÁLCULO!$M$15:$M$44=EVENTOS!$C48)*(OFFSET(CÁLCULO!$AA$15:$AA$44,0,I$13))),2),0)</f>
        <v>0</v>
      </c>
      <c r="J48" s="620" cm="1">
        <f t="array" aca="1" ref="J48" ca="1">IF(AUTOEVENTO="Manual",ROUND(SUMPRODUCT((CÁLCULO!$M$15:$M$44=EVENTOS!$C48)*(OFFSET(CÁLCULO!$AA$15:$AA$44,0,J$13))),2),0)</f>
        <v>0</v>
      </c>
      <c r="K48" s="620" cm="1">
        <f t="array" aca="1" ref="K48" ca="1">IF(AUTOEVENTO="Manual",ROUND(SUMPRODUCT((CÁLCULO!$M$15:$M$44=EVENTOS!$C48)*(OFFSET(CÁLCULO!$AA$15:$AA$44,0,K$13))),2),0)</f>
        <v>0</v>
      </c>
      <c r="L48" s="620" cm="1">
        <f t="array" aca="1" ref="L48" ca="1">IF(AUTOEVENTO="Manual",ROUND(SUMPRODUCT((CÁLCULO!$M$15:$M$44=EVENTOS!$C48)*(OFFSET(CÁLCULO!$AA$15:$AA$44,0,L$13))),2),0)</f>
        <v>0</v>
      </c>
      <c r="M48" s="620" cm="1">
        <f t="array" aca="1" ref="M48" ca="1">IF(AUTOEVENTO="Manual",ROUND(SUMPRODUCT((CÁLCULO!$M$15:$M$44=EVENTOS!$C48)*(OFFSET(CÁLCULO!$AA$15:$AA$44,0,M$13))),2),0)</f>
        <v>0</v>
      </c>
      <c r="N48" s="620" cm="1">
        <f t="array" aca="1" ref="N48" ca="1">IF(AUTOEVENTO="Manual",ROUND(SUMPRODUCT((CÁLCULO!$M$15:$M$44=EVENTOS!$C48)*(OFFSET(CÁLCULO!$AA$15:$AA$44,0,N$13))),2),0)</f>
        <v>0</v>
      </c>
      <c r="O48" s="620" cm="1">
        <f t="array" aca="1" ref="O48" ca="1">IF(AUTOEVENTO="Manual",ROUND(SUMPRODUCT((CÁLCULO!$M$15:$M$44=EVENTOS!$C48)*(OFFSET(CÁLCULO!$AA$15:$AA$44,0,O$13))),2),0)</f>
        <v>0</v>
      </c>
      <c r="P48" s="620" cm="1">
        <f t="array" aca="1" ref="P48" ca="1">IF(AUTOEVENTO="Manual",ROUND(SUMPRODUCT((CÁLCULO!$M$15:$M$44=EVENTOS!$C48)*(OFFSET(CÁLCULO!$AA$15:$AA$44,0,P$13))),2),0)</f>
        <v>0</v>
      </c>
      <c r="Q48" s="620" cm="1">
        <f t="array" aca="1" ref="Q48" ca="1">IF(AUTOEVENTO="Manual",ROUND(SUMPRODUCT((CÁLCULO!$M$15:$M$44=EVENTOS!$C48)*(OFFSET(CÁLCULO!$AA$15:$AA$44,0,Q$13))),2),0)</f>
        <v>0</v>
      </c>
      <c r="R48" s="620" cm="1">
        <f t="array" aca="1" ref="R48" ca="1">IF(AUTOEVENTO="Manual",ROUND(SUMPRODUCT((CÁLCULO!$M$15:$M$44=EVENTOS!$C48)*(OFFSET(CÁLCULO!$AA$15:$AA$44,0,R$13))),2),0)</f>
        <v>0</v>
      </c>
      <c r="S48" s="620" cm="1">
        <f t="array" aca="1" ref="S48" ca="1">IF(AUTOEVENTO="Manual",ROUND(SUMPRODUCT((CÁLCULO!$M$15:$M$44=EVENTOS!$C48)*(OFFSET(CÁLCULO!$AA$15:$AA$44,0,S$13))),2),0)</f>
        <v>0</v>
      </c>
      <c r="T48" s="620" cm="1">
        <f t="array" aca="1" ref="T48" ca="1">IF(AUTOEVENTO="Manual",ROUND(SUMPRODUCT((CÁLCULO!$M$15:$M$44=EVENTOS!$C48)*(OFFSET(CÁLCULO!$AA$15:$AA$44,0,T$13))),2),0)</f>
        <v>0</v>
      </c>
      <c r="U48" s="620" cm="1">
        <f t="array" aca="1" ref="U48" ca="1">IF(AUTOEVENTO="Manual",ROUND(SUMPRODUCT((CÁLCULO!$M$15:$M$44=EVENTOS!$C48)*(OFFSET(CÁLCULO!$AA$15:$AA$44,0,U$13))),2),0)</f>
        <v>0</v>
      </c>
      <c r="V48" s="620" cm="1">
        <f t="array" aca="1" ref="V48" ca="1">IF(AUTOEVENTO="Manual",ROUND(SUMPRODUCT((CÁLCULO!$M$15:$M$44=EVENTOS!$C48)*(OFFSET(CÁLCULO!$AA$15:$AA$44,0,V$13))),2),0)</f>
        <v>0</v>
      </c>
      <c r="W48" s="620" cm="1">
        <f t="array" aca="1" ref="W48" ca="1">IF(AUTOEVENTO="Manual",ROUND(SUMPRODUCT((CÁLCULO!$M$15:$M$44=EVENTOS!$C48)*(OFFSET(CÁLCULO!$AA$15:$AA$44,0,W$13))),2),0)</f>
        <v>0</v>
      </c>
      <c r="X48" s="620" cm="1">
        <f t="array" aca="1" ref="X48" ca="1">IF(AUTOEVENTO="Manual",ROUND(SUMPRODUCT((CÁLCULO!$M$15:$M$44=EVENTOS!$C48)*(OFFSET(CÁLCULO!$AA$15:$AA$44,0,X$13))),2),0)</f>
        <v>0</v>
      </c>
      <c r="Y48" s="620" cm="1">
        <f t="array" aca="1" ref="Y48" ca="1">IF(AUTOEVENTO="Manual",ROUND(SUMPRODUCT((CÁLCULO!$M$15:$M$44=EVENTOS!$C48)*(OFFSET(CÁLCULO!$AA$15:$AA$44,0,Y$13))),2),0)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IF(AUTOEVENTO="Manual",ROUND(SUMPRODUCT((CÁLCULO!$M$15:$M$44=EVENTOS!$C49)*(OFFSET(CÁLCULO!$AA$15:$AA$44,0,E$13))),2),0)</f>
        <v>0</v>
      </c>
      <c r="F49" s="183">
        <f ca="1">IF(AUTOEVENTO="Manual",ROUND(SUMPRODUCT((CÁLCULO!$M$15:$M$44=EVENTOS!$C49)*(OFFSET(CÁLCULO!$AA$15,0,1):OFFSET(CÁLCULO!$AL$44,0,-1))),2),0)</f>
        <v>0</v>
      </c>
      <c r="G49" s="621" t="str">
        <f t="shared" ca="1" si="6"/>
        <v/>
      </c>
      <c r="H49" s="620" cm="1">
        <f t="array" aca="1" ref="H49" ca="1">IF(AUTOEVENTO="Manual",ROUND(SUMPRODUCT((CÁLCULO!$M$15:$M$44=EVENTOS!$C49)*(OFFSET(CÁLCULO!$AA$15:$AA$44,0,H$13))),2),0)</f>
        <v>0</v>
      </c>
      <c r="I49" s="620" cm="1">
        <f t="array" aca="1" ref="I49" ca="1">IF(AUTOEVENTO="Manual",ROUND(SUMPRODUCT((CÁLCULO!$M$15:$M$44=EVENTOS!$C49)*(OFFSET(CÁLCULO!$AA$15:$AA$44,0,I$13))),2),0)</f>
        <v>0</v>
      </c>
      <c r="J49" s="620" cm="1">
        <f t="array" aca="1" ref="J49" ca="1">IF(AUTOEVENTO="Manual",ROUND(SUMPRODUCT((CÁLCULO!$M$15:$M$44=EVENTOS!$C49)*(OFFSET(CÁLCULO!$AA$15:$AA$44,0,J$13))),2),0)</f>
        <v>0</v>
      </c>
      <c r="K49" s="620" cm="1">
        <f t="array" aca="1" ref="K49" ca="1">IF(AUTOEVENTO="Manual",ROUND(SUMPRODUCT((CÁLCULO!$M$15:$M$44=EVENTOS!$C49)*(OFFSET(CÁLCULO!$AA$15:$AA$44,0,K$13))),2),0)</f>
        <v>0</v>
      </c>
      <c r="L49" s="620" cm="1">
        <f t="array" aca="1" ref="L49" ca="1">IF(AUTOEVENTO="Manual",ROUND(SUMPRODUCT((CÁLCULO!$M$15:$M$44=EVENTOS!$C49)*(OFFSET(CÁLCULO!$AA$15:$AA$44,0,L$13))),2),0)</f>
        <v>0</v>
      </c>
      <c r="M49" s="620" cm="1">
        <f t="array" aca="1" ref="M49" ca="1">IF(AUTOEVENTO="Manual",ROUND(SUMPRODUCT((CÁLCULO!$M$15:$M$44=EVENTOS!$C49)*(OFFSET(CÁLCULO!$AA$15:$AA$44,0,M$13))),2),0)</f>
        <v>0</v>
      </c>
      <c r="N49" s="620" cm="1">
        <f t="array" aca="1" ref="N49" ca="1">IF(AUTOEVENTO="Manual",ROUND(SUMPRODUCT((CÁLCULO!$M$15:$M$44=EVENTOS!$C49)*(OFFSET(CÁLCULO!$AA$15:$AA$44,0,N$13))),2),0)</f>
        <v>0</v>
      </c>
      <c r="O49" s="620" cm="1">
        <f t="array" aca="1" ref="O49" ca="1">IF(AUTOEVENTO="Manual",ROUND(SUMPRODUCT((CÁLCULO!$M$15:$M$44=EVENTOS!$C49)*(OFFSET(CÁLCULO!$AA$15:$AA$44,0,O$13))),2),0)</f>
        <v>0</v>
      </c>
      <c r="P49" s="620" cm="1">
        <f t="array" aca="1" ref="P49" ca="1">IF(AUTOEVENTO="Manual",ROUND(SUMPRODUCT((CÁLCULO!$M$15:$M$44=EVENTOS!$C49)*(OFFSET(CÁLCULO!$AA$15:$AA$44,0,P$13))),2),0)</f>
        <v>0</v>
      </c>
      <c r="Q49" s="620" cm="1">
        <f t="array" aca="1" ref="Q49" ca="1">IF(AUTOEVENTO="Manual",ROUND(SUMPRODUCT((CÁLCULO!$M$15:$M$44=EVENTOS!$C49)*(OFFSET(CÁLCULO!$AA$15:$AA$44,0,Q$13))),2),0)</f>
        <v>0</v>
      </c>
      <c r="R49" s="620" cm="1">
        <f t="array" aca="1" ref="R49" ca="1">IF(AUTOEVENTO="Manual",ROUND(SUMPRODUCT((CÁLCULO!$M$15:$M$44=EVENTOS!$C49)*(OFFSET(CÁLCULO!$AA$15:$AA$44,0,R$13))),2),0)</f>
        <v>0</v>
      </c>
      <c r="S49" s="620" cm="1">
        <f t="array" aca="1" ref="S49" ca="1">IF(AUTOEVENTO="Manual",ROUND(SUMPRODUCT((CÁLCULO!$M$15:$M$44=EVENTOS!$C49)*(OFFSET(CÁLCULO!$AA$15:$AA$44,0,S$13))),2),0)</f>
        <v>0</v>
      </c>
      <c r="T49" s="620" cm="1">
        <f t="array" aca="1" ref="T49" ca="1">IF(AUTOEVENTO="Manual",ROUND(SUMPRODUCT((CÁLCULO!$M$15:$M$44=EVENTOS!$C49)*(OFFSET(CÁLCULO!$AA$15:$AA$44,0,T$13))),2),0)</f>
        <v>0</v>
      </c>
      <c r="U49" s="620" cm="1">
        <f t="array" aca="1" ref="U49" ca="1">IF(AUTOEVENTO="Manual",ROUND(SUMPRODUCT((CÁLCULO!$M$15:$M$44=EVENTOS!$C49)*(OFFSET(CÁLCULO!$AA$15:$AA$44,0,U$13))),2),0)</f>
        <v>0</v>
      </c>
      <c r="V49" s="620" cm="1">
        <f t="array" aca="1" ref="V49" ca="1">IF(AUTOEVENTO="Manual",ROUND(SUMPRODUCT((CÁLCULO!$M$15:$M$44=EVENTOS!$C49)*(OFFSET(CÁLCULO!$AA$15:$AA$44,0,V$13))),2),0)</f>
        <v>0</v>
      </c>
      <c r="W49" s="620" cm="1">
        <f t="array" aca="1" ref="W49" ca="1">IF(AUTOEVENTO="Manual",ROUND(SUMPRODUCT((CÁLCULO!$M$15:$M$44=EVENTOS!$C49)*(OFFSET(CÁLCULO!$AA$15:$AA$44,0,W$13))),2),0)</f>
        <v>0</v>
      </c>
      <c r="X49" s="620" cm="1">
        <f t="array" aca="1" ref="X49" ca="1">IF(AUTOEVENTO="Manual",ROUND(SUMPRODUCT((CÁLCULO!$M$15:$M$44=EVENTOS!$C49)*(OFFSET(CÁLCULO!$AA$15:$AA$44,0,X$13))),2),0)</f>
        <v>0</v>
      </c>
      <c r="Y49" s="620" cm="1">
        <f t="array" aca="1" ref="Y49" ca="1">IF(AUTOEVENTO="Manual",ROUND(SUMPRODUCT((CÁLCULO!$M$15:$M$44=EVENTOS!$C49)*(OFFSET(CÁLCULO!$AA$15:$AA$44,0,Y$13))),2),0)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IF(AUTOEVENTO="Manual",ROUND(SUMPRODUCT((CÁLCULO!$M$15:$M$44=EVENTOS!$C50)*(OFFSET(CÁLCULO!$AA$15:$AA$44,0,E$13))),2),0)</f>
        <v>0</v>
      </c>
      <c r="F50" s="183">
        <f ca="1">IF(AUTOEVENTO="Manual",ROUND(SUMPRODUCT((CÁLCULO!$M$15:$M$44=EVENTOS!$C50)*(OFFSET(CÁLCULO!$AA$15,0,1):OFFSET(CÁLCULO!$AL$44,0,-1))),2),0)</f>
        <v>0</v>
      </c>
      <c r="G50" s="621" t="str">
        <f t="shared" ca="1" si="6"/>
        <v/>
      </c>
      <c r="H50" s="620" cm="1">
        <f t="array" aca="1" ref="H50" ca="1">IF(AUTOEVENTO="Manual",ROUND(SUMPRODUCT((CÁLCULO!$M$15:$M$44=EVENTOS!$C50)*(OFFSET(CÁLCULO!$AA$15:$AA$44,0,H$13))),2),0)</f>
        <v>0</v>
      </c>
      <c r="I50" s="620" cm="1">
        <f t="array" aca="1" ref="I50" ca="1">IF(AUTOEVENTO="Manual",ROUND(SUMPRODUCT((CÁLCULO!$M$15:$M$44=EVENTOS!$C50)*(OFFSET(CÁLCULO!$AA$15:$AA$44,0,I$13))),2),0)</f>
        <v>0</v>
      </c>
      <c r="J50" s="620" cm="1">
        <f t="array" aca="1" ref="J50" ca="1">IF(AUTOEVENTO="Manual",ROUND(SUMPRODUCT((CÁLCULO!$M$15:$M$44=EVENTOS!$C50)*(OFFSET(CÁLCULO!$AA$15:$AA$44,0,J$13))),2),0)</f>
        <v>0</v>
      </c>
      <c r="K50" s="620" cm="1">
        <f t="array" aca="1" ref="K50" ca="1">IF(AUTOEVENTO="Manual",ROUND(SUMPRODUCT((CÁLCULO!$M$15:$M$44=EVENTOS!$C50)*(OFFSET(CÁLCULO!$AA$15:$AA$44,0,K$13))),2),0)</f>
        <v>0</v>
      </c>
      <c r="L50" s="620" cm="1">
        <f t="array" aca="1" ref="L50" ca="1">IF(AUTOEVENTO="Manual",ROUND(SUMPRODUCT((CÁLCULO!$M$15:$M$44=EVENTOS!$C50)*(OFFSET(CÁLCULO!$AA$15:$AA$44,0,L$13))),2),0)</f>
        <v>0</v>
      </c>
      <c r="M50" s="620" cm="1">
        <f t="array" aca="1" ref="M50" ca="1">IF(AUTOEVENTO="Manual",ROUND(SUMPRODUCT((CÁLCULO!$M$15:$M$44=EVENTOS!$C50)*(OFFSET(CÁLCULO!$AA$15:$AA$44,0,M$13))),2),0)</f>
        <v>0</v>
      </c>
      <c r="N50" s="620" cm="1">
        <f t="array" aca="1" ref="N50" ca="1">IF(AUTOEVENTO="Manual",ROUND(SUMPRODUCT((CÁLCULO!$M$15:$M$44=EVENTOS!$C50)*(OFFSET(CÁLCULO!$AA$15:$AA$44,0,N$13))),2),0)</f>
        <v>0</v>
      </c>
      <c r="O50" s="620" cm="1">
        <f t="array" aca="1" ref="O50" ca="1">IF(AUTOEVENTO="Manual",ROUND(SUMPRODUCT((CÁLCULO!$M$15:$M$44=EVENTOS!$C50)*(OFFSET(CÁLCULO!$AA$15:$AA$44,0,O$13))),2),0)</f>
        <v>0</v>
      </c>
      <c r="P50" s="620" cm="1">
        <f t="array" aca="1" ref="P50" ca="1">IF(AUTOEVENTO="Manual",ROUND(SUMPRODUCT((CÁLCULO!$M$15:$M$44=EVENTOS!$C50)*(OFFSET(CÁLCULO!$AA$15:$AA$44,0,P$13))),2),0)</f>
        <v>0</v>
      </c>
      <c r="Q50" s="620" cm="1">
        <f t="array" aca="1" ref="Q50" ca="1">IF(AUTOEVENTO="Manual",ROUND(SUMPRODUCT((CÁLCULO!$M$15:$M$44=EVENTOS!$C50)*(OFFSET(CÁLCULO!$AA$15:$AA$44,0,Q$13))),2),0)</f>
        <v>0</v>
      </c>
      <c r="R50" s="620" cm="1">
        <f t="array" aca="1" ref="R50" ca="1">IF(AUTOEVENTO="Manual",ROUND(SUMPRODUCT((CÁLCULO!$M$15:$M$44=EVENTOS!$C50)*(OFFSET(CÁLCULO!$AA$15:$AA$44,0,R$13))),2),0)</f>
        <v>0</v>
      </c>
      <c r="S50" s="620" cm="1">
        <f t="array" aca="1" ref="S50" ca="1">IF(AUTOEVENTO="Manual",ROUND(SUMPRODUCT((CÁLCULO!$M$15:$M$44=EVENTOS!$C50)*(OFFSET(CÁLCULO!$AA$15:$AA$44,0,S$13))),2),0)</f>
        <v>0</v>
      </c>
      <c r="T50" s="620" cm="1">
        <f t="array" aca="1" ref="T50" ca="1">IF(AUTOEVENTO="Manual",ROUND(SUMPRODUCT((CÁLCULO!$M$15:$M$44=EVENTOS!$C50)*(OFFSET(CÁLCULO!$AA$15:$AA$44,0,T$13))),2),0)</f>
        <v>0</v>
      </c>
      <c r="U50" s="620" cm="1">
        <f t="array" aca="1" ref="U50" ca="1">IF(AUTOEVENTO="Manual",ROUND(SUMPRODUCT((CÁLCULO!$M$15:$M$44=EVENTOS!$C50)*(OFFSET(CÁLCULO!$AA$15:$AA$44,0,U$13))),2),0)</f>
        <v>0</v>
      </c>
      <c r="V50" s="620" cm="1">
        <f t="array" aca="1" ref="V50" ca="1">IF(AUTOEVENTO="Manual",ROUND(SUMPRODUCT((CÁLCULO!$M$15:$M$44=EVENTOS!$C50)*(OFFSET(CÁLCULO!$AA$15:$AA$44,0,V$13))),2),0)</f>
        <v>0</v>
      </c>
      <c r="W50" s="620" cm="1">
        <f t="array" aca="1" ref="W50" ca="1">IF(AUTOEVENTO="Manual",ROUND(SUMPRODUCT((CÁLCULO!$M$15:$M$44=EVENTOS!$C50)*(OFFSET(CÁLCULO!$AA$15:$AA$44,0,W$13))),2),0)</f>
        <v>0</v>
      </c>
      <c r="X50" s="620" cm="1">
        <f t="array" aca="1" ref="X50" ca="1">IF(AUTOEVENTO="Manual",ROUND(SUMPRODUCT((CÁLCULO!$M$15:$M$44=EVENTOS!$C50)*(OFFSET(CÁLCULO!$AA$15:$AA$44,0,X$13))),2),0)</f>
        <v>0</v>
      </c>
      <c r="Y50" s="620" cm="1">
        <f t="array" aca="1" ref="Y50" ca="1">IF(AUTOEVENTO="Manual",ROUND(SUMPRODUCT((CÁLCULO!$M$15:$M$44=EVENTOS!$C50)*(OFFSET(CÁLCULO!$AA$15:$AA$44,0,Y$13))),2),0)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IF(AUTOEVENTO="Manual",ROUND(SUMPRODUCT((CÁLCULO!$M$15:$M$44=EVENTOS!$C51)*(OFFSET(CÁLCULO!$AA$15:$AA$44,0,E$13))),2),0)</f>
        <v>0</v>
      </c>
      <c r="F51" s="183">
        <f ca="1">IF(AUTOEVENTO="Manual",ROUND(SUMPRODUCT((CÁLCULO!$M$15:$M$44=EVENTOS!$C51)*(OFFSET(CÁLCULO!$AA$15,0,1):OFFSET(CÁLCULO!$AL$44,0,-1))),2),0)</f>
        <v>0</v>
      </c>
      <c r="G51" s="621" t="str">
        <f t="shared" ca="1" si="6"/>
        <v/>
      </c>
      <c r="H51" s="620" cm="1">
        <f t="array" aca="1" ref="H51" ca="1">IF(AUTOEVENTO="Manual",ROUND(SUMPRODUCT((CÁLCULO!$M$15:$M$44=EVENTOS!$C51)*(OFFSET(CÁLCULO!$AA$15:$AA$44,0,H$13))),2),0)</f>
        <v>0</v>
      </c>
      <c r="I51" s="620" cm="1">
        <f t="array" aca="1" ref="I51" ca="1">IF(AUTOEVENTO="Manual",ROUND(SUMPRODUCT((CÁLCULO!$M$15:$M$44=EVENTOS!$C51)*(OFFSET(CÁLCULO!$AA$15:$AA$44,0,I$13))),2),0)</f>
        <v>0</v>
      </c>
      <c r="J51" s="620" cm="1">
        <f t="array" aca="1" ref="J51" ca="1">IF(AUTOEVENTO="Manual",ROUND(SUMPRODUCT((CÁLCULO!$M$15:$M$44=EVENTOS!$C51)*(OFFSET(CÁLCULO!$AA$15:$AA$44,0,J$13))),2),0)</f>
        <v>0</v>
      </c>
      <c r="K51" s="620" cm="1">
        <f t="array" aca="1" ref="K51" ca="1">IF(AUTOEVENTO="Manual",ROUND(SUMPRODUCT((CÁLCULO!$M$15:$M$44=EVENTOS!$C51)*(OFFSET(CÁLCULO!$AA$15:$AA$44,0,K$13))),2),0)</f>
        <v>0</v>
      </c>
      <c r="L51" s="620" cm="1">
        <f t="array" aca="1" ref="L51" ca="1">IF(AUTOEVENTO="Manual",ROUND(SUMPRODUCT((CÁLCULO!$M$15:$M$44=EVENTOS!$C51)*(OFFSET(CÁLCULO!$AA$15:$AA$44,0,L$13))),2),0)</f>
        <v>0</v>
      </c>
      <c r="M51" s="620" cm="1">
        <f t="array" aca="1" ref="M51" ca="1">IF(AUTOEVENTO="Manual",ROUND(SUMPRODUCT((CÁLCULO!$M$15:$M$44=EVENTOS!$C51)*(OFFSET(CÁLCULO!$AA$15:$AA$44,0,M$13))),2),0)</f>
        <v>0</v>
      </c>
      <c r="N51" s="620" cm="1">
        <f t="array" aca="1" ref="N51" ca="1">IF(AUTOEVENTO="Manual",ROUND(SUMPRODUCT((CÁLCULO!$M$15:$M$44=EVENTOS!$C51)*(OFFSET(CÁLCULO!$AA$15:$AA$44,0,N$13))),2),0)</f>
        <v>0</v>
      </c>
      <c r="O51" s="620" cm="1">
        <f t="array" aca="1" ref="O51" ca="1">IF(AUTOEVENTO="Manual",ROUND(SUMPRODUCT((CÁLCULO!$M$15:$M$44=EVENTOS!$C51)*(OFFSET(CÁLCULO!$AA$15:$AA$44,0,O$13))),2),0)</f>
        <v>0</v>
      </c>
      <c r="P51" s="620" cm="1">
        <f t="array" aca="1" ref="P51" ca="1">IF(AUTOEVENTO="Manual",ROUND(SUMPRODUCT((CÁLCULO!$M$15:$M$44=EVENTOS!$C51)*(OFFSET(CÁLCULO!$AA$15:$AA$44,0,P$13))),2),0)</f>
        <v>0</v>
      </c>
      <c r="Q51" s="620" cm="1">
        <f t="array" aca="1" ref="Q51" ca="1">IF(AUTOEVENTO="Manual",ROUND(SUMPRODUCT((CÁLCULO!$M$15:$M$44=EVENTOS!$C51)*(OFFSET(CÁLCULO!$AA$15:$AA$44,0,Q$13))),2),0)</f>
        <v>0</v>
      </c>
      <c r="R51" s="620" cm="1">
        <f t="array" aca="1" ref="R51" ca="1">IF(AUTOEVENTO="Manual",ROUND(SUMPRODUCT((CÁLCULO!$M$15:$M$44=EVENTOS!$C51)*(OFFSET(CÁLCULO!$AA$15:$AA$44,0,R$13))),2),0)</f>
        <v>0</v>
      </c>
      <c r="S51" s="620" cm="1">
        <f t="array" aca="1" ref="S51" ca="1">IF(AUTOEVENTO="Manual",ROUND(SUMPRODUCT((CÁLCULO!$M$15:$M$44=EVENTOS!$C51)*(OFFSET(CÁLCULO!$AA$15:$AA$44,0,S$13))),2),0)</f>
        <v>0</v>
      </c>
      <c r="T51" s="620" cm="1">
        <f t="array" aca="1" ref="T51" ca="1">IF(AUTOEVENTO="Manual",ROUND(SUMPRODUCT((CÁLCULO!$M$15:$M$44=EVENTOS!$C51)*(OFFSET(CÁLCULO!$AA$15:$AA$44,0,T$13))),2),0)</f>
        <v>0</v>
      </c>
      <c r="U51" s="620" cm="1">
        <f t="array" aca="1" ref="U51" ca="1">IF(AUTOEVENTO="Manual",ROUND(SUMPRODUCT((CÁLCULO!$M$15:$M$44=EVENTOS!$C51)*(OFFSET(CÁLCULO!$AA$15:$AA$44,0,U$13))),2),0)</f>
        <v>0</v>
      </c>
      <c r="V51" s="620" cm="1">
        <f t="array" aca="1" ref="V51" ca="1">IF(AUTOEVENTO="Manual",ROUND(SUMPRODUCT((CÁLCULO!$M$15:$M$44=EVENTOS!$C51)*(OFFSET(CÁLCULO!$AA$15:$AA$44,0,V$13))),2),0)</f>
        <v>0</v>
      </c>
      <c r="W51" s="620" cm="1">
        <f t="array" aca="1" ref="W51" ca="1">IF(AUTOEVENTO="Manual",ROUND(SUMPRODUCT((CÁLCULO!$M$15:$M$44=EVENTOS!$C51)*(OFFSET(CÁLCULO!$AA$15:$AA$44,0,W$13))),2),0)</f>
        <v>0</v>
      </c>
      <c r="X51" s="620" cm="1">
        <f t="array" aca="1" ref="X51" ca="1">IF(AUTOEVENTO="Manual",ROUND(SUMPRODUCT((CÁLCULO!$M$15:$M$44=EVENTOS!$C51)*(OFFSET(CÁLCULO!$AA$15:$AA$44,0,X$13))),2),0)</f>
        <v>0</v>
      </c>
      <c r="Y51" s="620" cm="1">
        <f t="array" aca="1" ref="Y51" ca="1">IF(AUTOEVENTO="Manual",ROUND(SUMPRODUCT((CÁLCULO!$M$15:$M$44=EVENTOS!$C51)*(OFFSET(CÁLCULO!$AA$15:$AA$44,0,Y$13))),2),0)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IF(AUTOEVENTO="Manual",ROUND(SUMPRODUCT((CÁLCULO!$M$15:$M$44=EVENTOS!$C52)*(OFFSET(CÁLCULO!$AA$15:$AA$44,0,E$13))),2),0)</f>
        <v>0</v>
      </c>
      <c r="F52" s="183">
        <f ca="1">IF(AUTOEVENTO="Manual",ROUND(SUMPRODUCT((CÁLCULO!$M$15:$M$44=EVENTOS!$C52)*(OFFSET(CÁLCULO!$AA$15,0,1):OFFSET(CÁLCULO!$AL$44,0,-1))),2),0)</f>
        <v>0</v>
      </c>
      <c r="G52" s="621" t="str">
        <f t="shared" ca="1" si="6"/>
        <v/>
      </c>
      <c r="H52" s="620" cm="1">
        <f t="array" aca="1" ref="H52" ca="1">IF(AUTOEVENTO="Manual",ROUND(SUMPRODUCT((CÁLCULO!$M$15:$M$44=EVENTOS!$C52)*(OFFSET(CÁLCULO!$AA$15:$AA$44,0,H$13))),2),0)</f>
        <v>0</v>
      </c>
      <c r="I52" s="620" cm="1">
        <f t="array" aca="1" ref="I52" ca="1">IF(AUTOEVENTO="Manual",ROUND(SUMPRODUCT((CÁLCULO!$M$15:$M$44=EVENTOS!$C52)*(OFFSET(CÁLCULO!$AA$15:$AA$44,0,I$13))),2),0)</f>
        <v>0</v>
      </c>
      <c r="J52" s="620" cm="1">
        <f t="array" aca="1" ref="J52" ca="1">IF(AUTOEVENTO="Manual",ROUND(SUMPRODUCT((CÁLCULO!$M$15:$M$44=EVENTOS!$C52)*(OFFSET(CÁLCULO!$AA$15:$AA$44,0,J$13))),2),0)</f>
        <v>0</v>
      </c>
      <c r="K52" s="620" cm="1">
        <f t="array" aca="1" ref="K52" ca="1">IF(AUTOEVENTO="Manual",ROUND(SUMPRODUCT((CÁLCULO!$M$15:$M$44=EVENTOS!$C52)*(OFFSET(CÁLCULO!$AA$15:$AA$44,0,K$13))),2),0)</f>
        <v>0</v>
      </c>
      <c r="L52" s="620" cm="1">
        <f t="array" aca="1" ref="L52" ca="1">IF(AUTOEVENTO="Manual",ROUND(SUMPRODUCT((CÁLCULO!$M$15:$M$44=EVENTOS!$C52)*(OFFSET(CÁLCULO!$AA$15:$AA$44,0,L$13))),2),0)</f>
        <v>0</v>
      </c>
      <c r="M52" s="620" cm="1">
        <f t="array" aca="1" ref="M52" ca="1">IF(AUTOEVENTO="Manual",ROUND(SUMPRODUCT((CÁLCULO!$M$15:$M$44=EVENTOS!$C52)*(OFFSET(CÁLCULO!$AA$15:$AA$44,0,M$13))),2),0)</f>
        <v>0</v>
      </c>
      <c r="N52" s="620" cm="1">
        <f t="array" aca="1" ref="N52" ca="1">IF(AUTOEVENTO="Manual",ROUND(SUMPRODUCT((CÁLCULO!$M$15:$M$44=EVENTOS!$C52)*(OFFSET(CÁLCULO!$AA$15:$AA$44,0,N$13))),2),0)</f>
        <v>0</v>
      </c>
      <c r="O52" s="620" cm="1">
        <f t="array" aca="1" ref="O52" ca="1">IF(AUTOEVENTO="Manual",ROUND(SUMPRODUCT((CÁLCULO!$M$15:$M$44=EVENTOS!$C52)*(OFFSET(CÁLCULO!$AA$15:$AA$44,0,O$13))),2),0)</f>
        <v>0</v>
      </c>
      <c r="P52" s="620" cm="1">
        <f t="array" aca="1" ref="P52" ca="1">IF(AUTOEVENTO="Manual",ROUND(SUMPRODUCT((CÁLCULO!$M$15:$M$44=EVENTOS!$C52)*(OFFSET(CÁLCULO!$AA$15:$AA$44,0,P$13))),2),0)</f>
        <v>0</v>
      </c>
      <c r="Q52" s="620" cm="1">
        <f t="array" aca="1" ref="Q52" ca="1">IF(AUTOEVENTO="Manual",ROUND(SUMPRODUCT((CÁLCULO!$M$15:$M$44=EVENTOS!$C52)*(OFFSET(CÁLCULO!$AA$15:$AA$44,0,Q$13))),2),0)</f>
        <v>0</v>
      </c>
      <c r="R52" s="620" cm="1">
        <f t="array" aca="1" ref="R52" ca="1">IF(AUTOEVENTO="Manual",ROUND(SUMPRODUCT((CÁLCULO!$M$15:$M$44=EVENTOS!$C52)*(OFFSET(CÁLCULO!$AA$15:$AA$44,0,R$13))),2),0)</f>
        <v>0</v>
      </c>
      <c r="S52" s="620" cm="1">
        <f t="array" aca="1" ref="S52" ca="1">IF(AUTOEVENTO="Manual",ROUND(SUMPRODUCT((CÁLCULO!$M$15:$M$44=EVENTOS!$C52)*(OFFSET(CÁLCULO!$AA$15:$AA$44,0,S$13))),2),0)</f>
        <v>0</v>
      </c>
      <c r="T52" s="620" cm="1">
        <f t="array" aca="1" ref="T52" ca="1">IF(AUTOEVENTO="Manual",ROUND(SUMPRODUCT((CÁLCULO!$M$15:$M$44=EVENTOS!$C52)*(OFFSET(CÁLCULO!$AA$15:$AA$44,0,T$13))),2),0)</f>
        <v>0</v>
      </c>
      <c r="U52" s="620" cm="1">
        <f t="array" aca="1" ref="U52" ca="1">IF(AUTOEVENTO="Manual",ROUND(SUMPRODUCT((CÁLCULO!$M$15:$M$44=EVENTOS!$C52)*(OFFSET(CÁLCULO!$AA$15:$AA$44,0,U$13))),2),0)</f>
        <v>0</v>
      </c>
      <c r="V52" s="620" cm="1">
        <f t="array" aca="1" ref="V52" ca="1">IF(AUTOEVENTO="Manual",ROUND(SUMPRODUCT((CÁLCULO!$M$15:$M$44=EVENTOS!$C52)*(OFFSET(CÁLCULO!$AA$15:$AA$44,0,V$13))),2),0)</f>
        <v>0</v>
      </c>
      <c r="W52" s="620" cm="1">
        <f t="array" aca="1" ref="W52" ca="1">IF(AUTOEVENTO="Manual",ROUND(SUMPRODUCT((CÁLCULO!$M$15:$M$44=EVENTOS!$C52)*(OFFSET(CÁLCULO!$AA$15:$AA$44,0,W$13))),2),0)</f>
        <v>0</v>
      </c>
      <c r="X52" s="620" cm="1">
        <f t="array" aca="1" ref="X52" ca="1">IF(AUTOEVENTO="Manual",ROUND(SUMPRODUCT((CÁLCULO!$M$15:$M$44=EVENTOS!$C52)*(OFFSET(CÁLCULO!$AA$15:$AA$44,0,X$13))),2),0)</f>
        <v>0</v>
      </c>
      <c r="Y52" s="620" cm="1">
        <f t="array" aca="1" ref="Y52" ca="1">IF(AUTOEVENTO="Manual",ROUND(SUMPRODUCT((CÁLCULO!$M$15:$M$44=EVENTOS!$C52)*(OFFSET(CÁLCULO!$AA$15:$AA$44,0,Y$13))),2),0)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IF(AUTOEVENTO="Manual",ROUND(SUMPRODUCT((CÁLCULO!$M$15:$M$44=EVENTOS!$C53)*(OFFSET(CÁLCULO!$AA$15:$AA$44,0,E$13))),2),0)</f>
        <v>0</v>
      </c>
      <c r="F53" s="183">
        <f ca="1">IF(AUTOEVENTO="Manual",ROUND(SUMPRODUCT((CÁLCULO!$M$15:$M$44=EVENTOS!$C53)*(OFFSET(CÁLCULO!$AA$15,0,1):OFFSET(CÁLCULO!$AL$44,0,-1))),2),0)</f>
        <v>0</v>
      </c>
      <c r="G53" s="621" t="str">
        <f t="shared" ca="1" si="6"/>
        <v/>
      </c>
      <c r="H53" s="620" cm="1">
        <f t="array" aca="1" ref="H53" ca="1">IF(AUTOEVENTO="Manual",ROUND(SUMPRODUCT((CÁLCULO!$M$15:$M$44=EVENTOS!$C53)*(OFFSET(CÁLCULO!$AA$15:$AA$44,0,H$13))),2),0)</f>
        <v>0</v>
      </c>
      <c r="I53" s="620" cm="1">
        <f t="array" aca="1" ref="I53" ca="1">IF(AUTOEVENTO="Manual",ROUND(SUMPRODUCT((CÁLCULO!$M$15:$M$44=EVENTOS!$C53)*(OFFSET(CÁLCULO!$AA$15:$AA$44,0,I$13))),2),0)</f>
        <v>0</v>
      </c>
      <c r="J53" s="620" cm="1">
        <f t="array" aca="1" ref="J53" ca="1">IF(AUTOEVENTO="Manual",ROUND(SUMPRODUCT((CÁLCULO!$M$15:$M$44=EVENTOS!$C53)*(OFFSET(CÁLCULO!$AA$15:$AA$44,0,J$13))),2),0)</f>
        <v>0</v>
      </c>
      <c r="K53" s="620" cm="1">
        <f t="array" aca="1" ref="K53" ca="1">IF(AUTOEVENTO="Manual",ROUND(SUMPRODUCT((CÁLCULO!$M$15:$M$44=EVENTOS!$C53)*(OFFSET(CÁLCULO!$AA$15:$AA$44,0,K$13))),2),0)</f>
        <v>0</v>
      </c>
      <c r="L53" s="620" cm="1">
        <f t="array" aca="1" ref="L53" ca="1">IF(AUTOEVENTO="Manual",ROUND(SUMPRODUCT((CÁLCULO!$M$15:$M$44=EVENTOS!$C53)*(OFFSET(CÁLCULO!$AA$15:$AA$44,0,L$13))),2),0)</f>
        <v>0</v>
      </c>
      <c r="M53" s="620" cm="1">
        <f t="array" aca="1" ref="M53" ca="1">IF(AUTOEVENTO="Manual",ROUND(SUMPRODUCT((CÁLCULO!$M$15:$M$44=EVENTOS!$C53)*(OFFSET(CÁLCULO!$AA$15:$AA$44,0,M$13))),2),0)</f>
        <v>0</v>
      </c>
      <c r="N53" s="620" cm="1">
        <f t="array" aca="1" ref="N53" ca="1">IF(AUTOEVENTO="Manual",ROUND(SUMPRODUCT((CÁLCULO!$M$15:$M$44=EVENTOS!$C53)*(OFFSET(CÁLCULO!$AA$15:$AA$44,0,N$13))),2),0)</f>
        <v>0</v>
      </c>
      <c r="O53" s="620" cm="1">
        <f t="array" aca="1" ref="O53" ca="1">IF(AUTOEVENTO="Manual",ROUND(SUMPRODUCT((CÁLCULO!$M$15:$M$44=EVENTOS!$C53)*(OFFSET(CÁLCULO!$AA$15:$AA$44,0,O$13))),2),0)</f>
        <v>0</v>
      </c>
      <c r="P53" s="620" cm="1">
        <f t="array" aca="1" ref="P53" ca="1">IF(AUTOEVENTO="Manual",ROUND(SUMPRODUCT((CÁLCULO!$M$15:$M$44=EVENTOS!$C53)*(OFFSET(CÁLCULO!$AA$15:$AA$44,0,P$13))),2),0)</f>
        <v>0</v>
      </c>
      <c r="Q53" s="620" cm="1">
        <f t="array" aca="1" ref="Q53" ca="1">IF(AUTOEVENTO="Manual",ROUND(SUMPRODUCT((CÁLCULO!$M$15:$M$44=EVENTOS!$C53)*(OFFSET(CÁLCULO!$AA$15:$AA$44,0,Q$13))),2),0)</f>
        <v>0</v>
      </c>
      <c r="R53" s="620" cm="1">
        <f t="array" aca="1" ref="R53" ca="1">IF(AUTOEVENTO="Manual",ROUND(SUMPRODUCT((CÁLCULO!$M$15:$M$44=EVENTOS!$C53)*(OFFSET(CÁLCULO!$AA$15:$AA$44,0,R$13))),2),0)</f>
        <v>0</v>
      </c>
      <c r="S53" s="620" cm="1">
        <f t="array" aca="1" ref="S53" ca="1">IF(AUTOEVENTO="Manual",ROUND(SUMPRODUCT((CÁLCULO!$M$15:$M$44=EVENTOS!$C53)*(OFFSET(CÁLCULO!$AA$15:$AA$44,0,S$13))),2),0)</f>
        <v>0</v>
      </c>
      <c r="T53" s="620" cm="1">
        <f t="array" aca="1" ref="T53" ca="1">IF(AUTOEVENTO="Manual",ROUND(SUMPRODUCT((CÁLCULO!$M$15:$M$44=EVENTOS!$C53)*(OFFSET(CÁLCULO!$AA$15:$AA$44,0,T$13))),2),0)</f>
        <v>0</v>
      </c>
      <c r="U53" s="620" cm="1">
        <f t="array" aca="1" ref="U53" ca="1">IF(AUTOEVENTO="Manual",ROUND(SUMPRODUCT((CÁLCULO!$M$15:$M$44=EVENTOS!$C53)*(OFFSET(CÁLCULO!$AA$15:$AA$44,0,U$13))),2),0)</f>
        <v>0</v>
      </c>
      <c r="V53" s="620" cm="1">
        <f t="array" aca="1" ref="V53" ca="1">IF(AUTOEVENTO="Manual",ROUND(SUMPRODUCT((CÁLCULO!$M$15:$M$44=EVENTOS!$C53)*(OFFSET(CÁLCULO!$AA$15:$AA$44,0,V$13))),2),0)</f>
        <v>0</v>
      </c>
      <c r="W53" s="620" cm="1">
        <f t="array" aca="1" ref="W53" ca="1">IF(AUTOEVENTO="Manual",ROUND(SUMPRODUCT((CÁLCULO!$M$15:$M$44=EVENTOS!$C53)*(OFFSET(CÁLCULO!$AA$15:$AA$44,0,W$13))),2),0)</f>
        <v>0</v>
      </c>
      <c r="X53" s="620" cm="1">
        <f t="array" aca="1" ref="X53" ca="1">IF(AUTOEVENTO="Manual",ROUND(SUMPRODUCT((CÁLCULO!$M$15:$M$44=EVENTOS!$C53)*(OFFSET(CÁLCULO!$AA$15:$AA$44,0,X$13))),2),0)</f>
        <v>0</v>
      </c>
      <c r="Y53" s="620" cm="1">
        <f t="array" aca="1" ref="Y53" ca="1">IF(AUTOEVENTO="Manual",ROUND(SUMPRODUCT((CÁLCULO!$M$15:$M$44=EVENTOS!$C53)*(OFFSET(CÁLCULO!$AA$15:$AA$44,0,Y$13))),2),0)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IF(AUTOEVENTO="Manual",ROUND(SUMPRODUCT((CÁLCULO!$M$15:$M$44=EVENTOS!$C54)*(OFFSET(CÁLCULO!$AA$15:$AA$44,0,E$13))),2),0)</f>
        <v>0</v>
      </c>
      <c r="F54" s="183">
        <f ca="1">IF(AUTOEVENTO="Manual",ROUND(SUMPRODUCT((CÁLCULO!$M$15:$M$44=EVENTOS!$C54)*(OFFSET(CÁLCULO!$AA$15,0,1):OFFSET(CÁLCULO!$AL$44,0,-1))),2),0)</f>
        <v>0</v>
      </c>
      <c r="G54" s="621" t="str">
        <f t="shared" ca="1" si="6"/>
        <v/>
      </c>
      <c r="H54" s="620" cm="1">
        <f t="array" aca="1" ref="H54" ca="1">IF(AUTOEVENTO="Manual",ROUND(SUMPRODUCT((CÁLCULO!$M$15:$M$44=EVENTOS!$C54)*(OFFSET(CÁLCULO!$AA$15:$AA$44,0,H$13))),2),0)</f>
        <v>0</v>
      </c>
      <c r="I54" s="620" cm="1">
        <f t="array" aca="1" ref="I54" ca="1">IF(AUTOEVENTO="Manual",ROUND(SUMPRODUCT((CÁLCULO!$M$15:$M$44=EVENTOS!$C54)*(OFFSET(CÁLCULO!$AA$15:$AA$44,0,I$13))),2),0)</f>
        <v>0</v>
      </c>
      <c r="J54" s="620" cm="1">
        <f t="array" aca="1" ref="J54" ca="1">IF(AUTOEVENTO="Manual",ROUND(SUMPRODUCT((CÁLCULO!$M$15:$M$44=EVENTOS!$C54)*(OFFSET(CÁLCULO!$AA$15:$AA$44,0,J$13))),2),0)</f>
        <v>0</v>
      </c>
      <c r="K54" s="620" cm="1">
        <f t="array" aca="1" ref="K54" ca="1">IF(AUTOEVENTO="Manual",ROUND(SUMPRODUCT((CÁLCULO!$M$15:$M$44=EVENTOS!$C54)*(OFFSET(CÁLCULO!$AA$15:$AA$44,0,K$13))),2),0)</f>
        <v>0</v>
      </c>
      <c r="L54" s="620" cm="1">
        <f t="array" aca="1" ref="L54" ca="1">IF(AUTOEVENTO="Manual",ROUND(SUMPRODUCT((CÁLCULO!$M$15:$M$44=EVENTOS!$C54)*(OFFSET(CÁLCULO!$AA$15:$AA$44,0,L$13))),2),0)</f>
        <v>0</v>
      </c>
      <c r="M54" s="620" cm="1">
        <f t="array" aca="1" ref="M54" ca="1">IF(AUTOEVENTO="Manual",ROUND(SUMPRODUCT((CÁLCULO!$M$15:$M$44=EVENTOS!$C54)*(OFFSET(CÁLCULO!$AA$15:$AA$44,0,M$13))),2),0)</f>
        <v>0</v>
      </c>
      <c r="N54" s="620" cm="1">
        <f t="array" aca="1" ref="N54" ca="1">IF(AUTOEVENTO="Manual",ROUND(SUMPRODUCT((CÁLCULO!$M$15:$M$44=EVENTOS!$C54)*(OFFSET(CÁLCULO!$AA$15:$AA$44,0,N$13))),2),0)</f>
        <v>0</v>
      </c>
      <c r="O54" s="620" cm="1">
        <f t="array" aca="1" ref="O54" ca="1">IF(AUTOEVENTO="Manual",ROUND(SUMPRODUCT((CÁLCULO!$M$15:$M$44=EVENTOS!$C54)*(OFFSET(CÁLCULO!$AA$15:$AA$44,0,O$13))),2),0)</f>
        <v>0</v>
      </c>
      <c r="P54" s="620" cm="1">
        <f t="array" aca="1" ref="P54" ca="1">IF(AUTOEVENTO="Manual",ROUND(SUMPRODUCT((CÁLCULO!$M$15:$M$44=EVENTOS!$C54)*(OFFSET(CÁLCULO!$AA$15:$AA$44,0,P$13))),2),0)</f>
        <v>0</v>
      </c>
      <c r="Q54" s="620" cm="1">
        <f t="array" aca="1" ref="Q54" ca="1">IF(AUTOEVENTO="Manual",ROUND(SUMPRODUCT((CÁLCULO!$M$15:$M$44=EVENTOS!$C54)*(OFFSET(CÁLCULO!$AA$15:$AA$44,0,Q$13))),2),0)</f>
        <v>0</v>
      </c>
      <c r="R54" s="620" cm="1">
        <f t="array" aca="1" ref="R54" ca="1">IF(AUTOEVENTO="Manual",ROUND(SUMPRODUCT((CÁLCULO!$M$15:$M$44=EVENTOS!$C54)*(OFFSET(CÁLCULO!$AA$15:$AA$44,0,R$13))),2),0)</f>
        <v>0</v>
      </c>
      <c r="S54" s="620" cm="1">
        <f t="array" aca="1" ref="S54" ca="1">IF(AUTOEVENTO="Manual",ROUND(SUMPRODUCT((CÁLCULO!$M$15:$M$44=EVENTOS!$C54)*(OFFSET(CÁLCULO!$AA$15:$AA$44,0,S$13))),2),0)</f>
        <v>0</v>
      </c>
      <c r="T54" s="620" cm="1">
        <f t="array" aca="1" ref="T54" ca="1">IF(AUTOEVENTO="Manual",ROUND(SUMPRODUCT((CÁLCULO!$M$15:$M$44=EVENTOS!$C54)*(OFFSET(CÁLCULO!$AA$15:$AA$44,0,T$13))),2),0)</f>
        <v>0</v>
      </c>
      <c r="U54" s="620" cm="1">
        <f t="array" aca="1" ref="U54" ca="1">IF(AUTOEVENTO="Manual",ROUND(SUMPRODUCT((CÁLCULO!$M$15:$M$44=EVENTOS!$C54)*(OFFSET(CÁLCULO!$AA$15:$AA$44,0,U$13))),2),0)</f>
        <v>0</v>
      </c>
      <c r="V54" s="620" cm="1">
        <f t="array" aca="1" ref="V54" ca="1">IF(AUTOEVENTO="Manual",ROUND(SUMPRODUCT((CÁLCULO!$M$15:$M$44=EVENTOS!$C54)*(OFFSET(CÁLCULO!$AA$15:$AA$44,0,V$13))),2),0)</f>
        <v>0</v>
      </c>
      <c r="W54" s="620" cm="1">
        <f t="array" aca="1" ref="W54" ca="1">IF(AUTOEVENTO="Manual",ROUND(SUMPRODUCT((CÁLCULO!$M$15:$M$44=EVENTOS!$C54)*(OFFSET(CÁLCULO!$AA$15:$AA$44,0,W$13))),2),0)</f>
        <v>0</v>
      </c>
      <c r="X54" s="620" cm="1">
        <f t="array" aca="1" ref="X54" ca="1">IF(AUTOEVENTO="Manual",ROUND(SUMPRODUCT((CÁLCULO!$M$15:$M$44=EVENTOS!$C54)*(OFFSET(CÁLCULO!$AA$15:$AA$44,0,X$13))),2),0)</f>
        <v>0</v>
      </c>
      <c r="Y54" s="620" cm="1">
        <f t="array" aca="1" ref="Y54" ca="1">IF(AUTOEVENTO="Manual",ROUND(SUMPRODUCT((CÁLCULO!$M$15:$M$44=EVENTOS!$C54)*(OFFSET(CÁLCULO!$AA$15:$AA$44,0,Y$13))),2),0)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IF(AUTOEVENTO="Manual",ROUND(SUMPRODUCT((CÁLCULO!$M$15:$M$44=EVENTOS!$C55)*(OFFSET(CÁLCULO!$AA$15:$AA$44,0,E$13))),2),0)</f>
        <v>0</v>
      </c>
      <c r="F55" s="183">
        <f ca="1">IF(AUTOEVENTO="Manual",ROUND(SUMPRODUCT((CÁLCULO!$M$15:$M$44=EVENTOS!$C55)*(OFFSET(CÁLCULO!$AA$15,0,1):OFFSET(CÁLCULO!$AL$44,0,-1))),2),0)</f>
        <v>0</v>
      </c>
      <c r="G55" s="621" t="str">
        <f t="shared" ca="1" si="6"/>
        <v/>
      </c>
      <c r="H55" s="620" cm="1">
        <f t="array" aca="1" ref="H55" ca="1">IF(AUTOEVENTO="Manual",ROUND(SUMPRODUCT((CÁLCULO!$M$15:$M$44=EVENTOS!$C55)*(OFFSET(CÁLCULO!$AA$15:$AA$44,0,H$13))),2),0)</f>
        <v>0</v>
      </c>
      <c r="I55" s="620" cm="1">
        <f t="array" aca="1" ref="I55" ca="1">IF(AUTOEVENTO="Manual",ROUND(SUMPRODUCT((CÁLCULO!$M$15:$M$44=EVENTOS!$C55)*(OFFSET(CÁLCULO!$AA$15:$AA$44,0,I$13))),2),0)</f>
        <v>0</v>
      </c>
      <c r="J55" s="620" cm="1">
        <f t="array" aca="1" ref="J55" ca="1">IF(AUTOEVENTO="Manual",ROUND(SUMPRODUCT((CÁLCULO!$M$15:$M$44=EVENTOS!$C55)*(OFFSET(CÁLCULO!$AA$15:$AA$44,0,J$13))),2),0)</f>
        <v>0</v>
      </c>
      <c r="K55" s="620" cm="1">
        <f t="array" aca="1" ref="K55" ca="1">IF(AUTOEVENTO="Manual",ROUND(SUMPRODUCT((CÁLCULO!$M$15:$M$44=EVENTOS!$C55)*(OFFSET(CÁLCULO!$AA$15:$AA$44,0,K$13))),2),0)</f>
        <v>0</v>
      </c>
      <c r="L55" s="620" cm="1">
        <f t="array" aca="1" ref="L55" ca="1">IF(AUTOEVENTO="Manual",ROUND(SUMPRODUCT((CÁLCULO!$M$15:$M$44=EVENTOS!$C55)*(OFFSET(CÁLCULO!$AA$15:$AA$44,0,L$13))),2),0)</f>
        <v>0</v>
      </c>
      <c r="M55" s="620" cm="1">
        <f t="array" aca="1" ref="M55" ca="1">IF(AUTOEVENTO="Manual",ROUND(SUMPRODUCT((CÁLCULO!$M$15:$M$44=EVENTOS!$C55)*(OFFSET(CÁLCULO!$AA$15:$AA$44,0,M$13))),2),0)</f>
        <v>0</v>
      </c>
      <c r="N55" s="620" cm="1">
        <f t="array" aca="1" ref="N55" ca="1">IF(AUTOEVENTO="Manual",ROUND(SUMPRODUCT((CÁLCULO!$M$15:$M$44=EVENTOS!$C55)*(OFFSET(CÁLCULO!$AA$15:$AA$44,0,N$13))),2),0)</f>
        <v>0</v>
      </c>
      <c r="O55" s="620" cm="1">
        <f t="array" aca="1" ref="O55" ca="1">IF(AUTOEVENTO="Manual",ROUND(SUMPRODUCT((CÁLCULO!$M$15:$M$44=EVENTOS!$C55)*(OFFSET(CÁLCULO!$AA$15:$AA$44,0,O$13))),2),0)</f>
        <v>0</v>
      </c>
      <c r="P55" s="620" cm="1">
        <f t="array" aca="1" ref="P55" ca="1">IF(AUTOEVENTO="Manual",ROUND(SUMPRODUCT((CÁLCULO!$M$15:$M$44=EVENTOS!$C55)*(OFFSET(CÁLCULO!$AA$15:$AA$44,0,P$13))),2),0)</f>
        <v>0</v>
      </c>
      <c r="Q55" s="620" cm="1">
        <f t="array" aca="1" ref="Q55" ca="1">IF(AUTOEVENTO="Manual",ROUND(SUMPRODUCT((CÁLCULO!$M$15:$M$44=EVENTOS!$C55)*(OFFSET(CÁLCULO!$AA$15:$AA$44,0,Q$13))),2),0)</f>
        <v>0</v>
      </c>
      <c r="R55" s="620" cm="1">
        <f t="array" aca="1" ref="R55" ca="1">IF(AUTOEVENTO="Manual",ROUND(SUMPRODUCT((CÁLCULO!$M$15:$M$44=EVENTOS!$C55)*(OFFSET(CÁLCULO!$AA$15:$AA$44,0,R$13))),2),0)</f>
        <v>0</v>
      </c>
      <c r="S55" s="620" cm="1">
        <f t="array" aca="1" ref="S55" ca="1">IF(AUTOEVENTO="Manual",ROUND(SUMPRODUCT((CÁLCULO!$M$15:$M$44=EVENTOS!$C55)*(OFFSET(CÁLCULO!$AA$15:$AA$44,0,S$13))),2),0)</f>
        <v>0</v>
      </c>
      <c r="T55" s="620" cm="1">
        <f t="array" aca="1" ref="T55" ca="1">IF(AUTOEVENTO="Manual",ROUND(SUMPRODUCT((CÁLCULO!$M$15:$M$44=EVENTOS!$C55)*(OFFSET(CÁLCULO!$AA$15:$AA$44,0,T$13))),2),0)</f>
        <v>0</v>
      </c>
      <c r="U55" s="620" cm="1">
        <f t="array" aca="1" ref="U55" ca="1">IF(AUTOEVENTO="Manual",ROUND(SUMPRODUCT((CÁLCULO!$M$15:$M$44=EVENTOS!$C55)*(OFFSET(CÁLCULO!$AA$15:$AA$44,0,U$13))),2),0)</f>
        <v>0</v>
      </c>
      <c r="V55" s="620" cm="1">
        <f t="array" aca="1" ref="V55" ca="1">IF(AUTOEVENTO="Manual",ROUND(SUMPRODUCT((CÁLCULO!$M$15:$M$44=EVENTOS!$C55)*(OFFSET(CÁLCULO!$AA$15:$AA$44,0,V$13))),2),0)</f>
        <v>0</v>
      </c>
      <c r="W55" s="620" cm="1">
        <f t="array" aca="1" ref="W55" ca="1">IF(AUTOEVENTO="Manual",ROUND(SUMPRODUCT((CÁLCULO!$M$15:$M$44=EVENTOS!$C55)*(OFFSET(CÁLCULO!$AA$15:$AA$44,0,W$13))),2),0)</f>
        <v>0</v>
      </c>
      <c r="X55" s="620" cm="1">
        <f t="array" aca="1" ref="X55" ca="1">IF(AUTOEVENTO="Manual",ROUND(SUMPRODUCT((CÁLCULO!$M$15:$M$44=EVENTOS!$C55)*(OFFSET(CÁLCULO!$AA$15:$AA$44,0,X$13))),2),0)</f>
        <v>0</v>
      </c>
      <c r="Y55" s="620" cm="1">
        <f t="array" aca="1" ref="Y55" ca="1">IF(AUTOEVENTO="Manual",ROUND(SUMPRODUCT((CÁLCULO!$M$15:$M$44=EVENTOS!$C55)*(OFFSET(CÁLCULO!$AA$15:$AA$44,0,Y$13))),2),0)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IF(AUTOEVENTO="Manual",ROUND(SUMPRODUCT((CÁLCULO!$M$15:$M$44=EVENTOS!$C56)*(OFFSET(CÁLCULO!$AA$15:$AA$44,0,E$13))),2),0)</f>
        <v>0</v>
      </c>
      <c r="F56" s="183">
        <f ca="1">IF(AUTOEVENTO="Manual",ROUND(SUMPRODUCT((CÁLCULO!$M$15:$M$44=EVENTOS!$C56)*(OFFSET(CÁLCULO!$AA$15,0,1):OFFSET(CÁLCULO!$AL$44,0,-1))),2),0)</f>
        <v>0</v>
      </c>
      <c r="G56" s="621" t="str">
        <f t="shared" ca="1" si="6"/>
        <v/>
      </c>
      <c r="H56" s="620" cm="1">
        <f t="array" aca="1" ref="H56" ca="1">IF(AUTOEVENTO="Manual",ROUND(SUMPRODUCT((CÁLCULO!$M$15:$M$44=EVENTOS!$C56)*(OFFSET(CÁLCULO!$AA$15:$AA$44,0,H$13))),2),0)</f>
        <v>0</v>
      </c>
      <c r="I56" s="620" cm="1">
        <f t="array" aca="1" ref="I56" ca="1">IF(AUTOEVENTO="Manual",ROUND(SUMPRODUCT((CÁLCULO!$M$15:$M$44=EVENTOS!$C56)*(OFFSET(CÁLCULO!$AA$15:$AA$44,0,I$13))),2),0)</f>
        <v>0</v>
      </c>
      <c r="J56" s="620" cm="1">
        <f t="array" aca="1" ref="J56" ca="1">IF(AUTOEVENTO="Manual",ROUND(SUMPRODUCT((CÁLCULO!$M$15:$M$44=EVENTOS!$C56)*(OFFSET(CÁLCULO!$AA$15:$AA$44,0,J$13))),2),0)</f>
        <v>0</v>
      </c>
      <c r="K56" s="620" cm="1">
        <f t="array" aca="1" ref="K56" ca="1">IF(AUTOEVENTO="Manual",ROUND(SUMPRODUCT((CÁLCULO!$M$15:$M$44=EVENTOS!$C56)*(OFFSET(CÁLCULO!$AA$15:$AA$44,0,K$13))),2),0)</f>
        <v>0</v>
      </c>
      <c r="L56" s="620" cm="1">
        <f t="array" aca="1" ref="L56" ca="1">IF(AUTOEVENTO="Manual",ROUND(SUMPRODUCT((CÁLCULO!$M$15:$M$44=EVENTOS!$C56)*(OFFSET(CÁLCULO!$AA$15:$AA$44,0,L$13))),2),0)</f>
        <v>0</v>
      </c>
      <c r="M56" s="620" cm="1">
        <f t="array" aca="1" ref="M56" ca="1">IF(AUTOEVENTO="Manual",ROUND(SUMPRODUCT((CÁLCULO!$M$15:$M$44=EVENTOS!$C56)*(OFFSET(CÁLCULO!$AA$15:$AA$44,0,M$13))),2),0)</f>
        <v>0</v>
      </c>
      <c r="N56" s="620" cm="1">
        <f t="array" aca="1" ref="N56" ca="1">IF(AUTOEVENTO="Manual",ROUND(SUMPRODUCT((CÁLCULO!$M$15:$M$44=EVENTOS!$C56)*(OFFSET(CÁLCULO!$AA$15:$AA$44,0,N$13))),2),0)</f>
        <v>0</v>
      </c>
      <c r="O56" s="620" cm="1">
        <f t="array" aca="1" ref="O56" ca="1">IF(AUTOEVENTO="Manual",ROUND(SUMPRODUCT((CÁLCULO!$M$15:$M$44=EVENTOS!$C56)*(OFFSET(CÁLCULO!$AA$15:$AA$44,0,O$13))),2),0)</f>
        <v>0</v>
      </c>
      <c r="P56" s="620" cm="1">
        <f t="array" aca="1" ref="P56" ca="1">IF(AUTOEVENTO="Manual",ROUND(SUMPRODUCT((CÁLCULO!$M$15:$M$44=EVENTOS!$C56)*(OFFSET(CÁLCULO!$AA$15:$AA$44,0,P$13))),2),0)</f>
        <v>0</v>
      </c>
      <c r="Q56" s="620" cm="1">
        <f t="array" aca="1" ref="Q56" ca="1">IF(AUTOEVENTO="Manual",ROUND(SUMPRODUCT((CÁLCULO!$M$15:$M$44=EVENTOS!$C56)*(OFFSET(CÁLCULO!$AA$15:$AA$44,0,Q$13))),2),0)</f>
        <v>0</v>
      </c>
      <c r="R56" s="620" cm="1">
        <f t="array" aca="1" ref="R56" ca="1">IF(AUTOEVENTO="Manual",ROUND(SUMPRODUCT((CÁLCULO!$M$15:$M$44=EVENTOS!$C56)*(OFFSET(CÁLCULO!$AA$15:$AA$44,0,R$13))),2),0)</f>
        <v>0</v>
      </c>
      <c r="S56" s="620" cm="1">
        <f t="array" aca="1" ref="S56" ca="1">IF(AUTOEVENTO="Manual",ROUND(SUMPRODUCT((CÁLCULO!$M$15:$M$44=EVENTOS!$C56)*(OFFSET(CÁLCULO!$AA$15:$AA$44,0,S$13))),2),0)</f>
        <v>0</v>
      </c>
      <c r="T56" s="620" cm="1">
        <f t="array" aca="1" ref="T56" ca="1">IF(AUTOEVENTO="Manual",ROUND(SUMPRODUCT((CÁLCULO!$M$15:$M$44=EVENTOS!$C56)*(OFFSET(CÁLCULO!$AA$15:$AA$44,0,T$13))),2),0)</f>
        <v>0</v>
      </c>
      <c r="U56" s="620" cm="1">
        <f t="array" aca="1" ref="U56" ca="1">IF(AUTOEVENTO="Manual",ROUND(SUMPRODUCT((CÁLCULO!$M$15:$M$44=EVENTOS!$C56)*(OFFSET(CÁLCULO!$AA$15:$AA$44,0,U$13))),2),0)</f>
        <v>0</v>
      </c>
      <c r="V56" s="620" cm="1">
        <f t="array" aca="1" ref="V56" ca="1">IF(AUTOEVENTO="Manual",ROUND(SUMPRODUCT((CÁLCULO!$M$15:$M$44=EVENTOS!$C56)*(OFFSET(CÁLCULO!$AA$15:$AA$44,0,V$13))),2),0)</f>
        <v>0</v>
      </c>
      <c r="W56" s="620" cm="1">
        <f t="array" aca="1" ref="W56" ca="1">IF(AUTOEVENTO="Manual",ROUND(SUMPRODUCT((CÁLCULO!$M$15:$M$44=EVENTOS!$C56)*(OFFSET(CÁLCULO!$AA$15:$AA$44,0,W$13))),2),0)</f>
        <v>0</v>
      </c>
      <c r="X56" s="620" cm="1">
        <f t="array" aca="1" ref="X56" ca="1">IF(AUTOEVENTO="Manual",ROUND(SUMPRODUCT((CÁLCULO!$M$15:$M$44=EVENTOS!$C56)*(OFFSET(CÁLCULO!$AA$15:$AA$44,0,X$13))),2),0)</f>
        <v>0</v>
      </c>
      <c r="Y56" s="620" cm="1">
        <f t="array" aca="1" ref="Y56" ca="1">IF(AUTOEVENTO="Manual",ROUND(SUMPRODUCT((CÁLCULO!$M$15:$M$44=EVENTOS!$C56)*(OFFSET(CÁLCULO!$AA$15:$AA$44,0,Y$13))),2),0)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IF(AUTOEVENTO="Manual",ROUND(SUMPRODUCT((CÁLCULO!$M$15:$M$44=EVENTOS!$C57)*(OFFSET(CÁLCULO!$AA$15:$AA$44,0,E$13))),2),0)</f>
        <v>0</v>
      </c>
      <c r="F57" s="183">
        <f ca="1">IF(AUTOEVENTO="Manual",ROUND(SUMPRODUCT((CÁLCULO!$M$15:$M$44=EVENTOS!$C57)*(OFFSET(CÁLCULO!$AA$15,0,1):OFFSET(CÁLCULO!$AL$44,0,-1))),2),0)</f>
        <v>0</v>
      </c>
      <c r="G57" s="621" t="str">
        <f t="shared" ca="1" si="6"/>
        <v/>
      </c>
      <c r="H57" s="620" cm="1">
        <f t="array" aca="1" ref="H57" ca="1">IF(AUTOEVENTO="Manual",ROUND(SUMPRODUCT((CÁLCULO!$M$15:$M$44=EVENTOS!$C57)*(OFFSET(CÁLCULO!$AA$15:$AA$44,0,H$13))),2),0)</f>
        <v>0</v>
      </c>
      <c r="I57" s="620" cm="1">
        <f t="array" aca="1" ref="I57" ca="1">IF(AUTOEVENTO="Manual",ROUND(SUMPRODUCT((CÁLCULO!$M$15:$M$44=EVENTOS!$C57)*(OFFSET(CÁLCULO!$AA$15:$AA$44,0,I$13))),2),0)</f>
        <v>0</v>
      </c>
      <c r="J57" s="620" cm="1">
        <f t="array" aca="1" ref="J57" ca="1">IF(AUTOEVENTO="Manual",ROUND(SUMPRODUCT((CÁLCULO!$M$15:$M$44=EVENTOS!$C57)*(OFFSET(CÁLCULO!$AA$15:$AA$44,0,J$13))),2),0)</f>
        <v>0</v>
      </c>
      <c r="K57" s="620" cm="1">
        <f t="array" aca="1" ref="K57" ca="1">IF(AUTOEVENTO="Manual",ROUND(SUMPRODUCT((CÁLCULO!$M$15:$M$44=EVENTOS!$C57)*(OFFSET(CÁLCULO!$AA$15:$AA$44,0,K$13))),2),0)</f>
        <v>0</v>
      </c>
      <c r="L57" s="620" cm="1">
        <f t="array" aca="1" ref="L57" ca="1">IF(AUTOEVENTO="Manual",ROUND(SUMPRODUCT((CÁLCULO!$M$15:$M$44=EVENTOS!$C57)*(OFFSET(CÁLCULO!$AA$15:$AA$44,0,L$13))),2),0)</f>
        <v>0</v>
      </c>
      <c r="M57" s="620" cm="1">
        <f t="array" aca="1" ref="M57" ca="1">IF(AUTOEVENTO="Manual",ROUND(SUMPRODUCT((CÁLCULO!$M$15:$M$44=EVENTOS!$C57)*(OFFSET(CÁLCULO!$AA$15:$AA$44,0,M$13))),2),0)</f>
        <v>0</v>
      </c>
      <c r="N57" s="620" cm="1">
        <f t="array" aca="1" ref="N57" ca="1">IF(AUTOEVENTO="Manual",ROUND(SUMPRODUCT((CÁLCULO!$M$15:$M$44=EVENTOS!$C57)*(OFFSET(CÁLCULO!$AA$15:$AA$44,0,N$13))),2),0)</f>
        <v>0</v>
      </c>
      <c r="O57" s="620" cm="1">
        <f t="array" aca="1" ref="O57" ca="1">IF(AUTOEVENTO="Manual",ROUND(SUMPRODUCT((CÁLCULO!$M$15:$M$44=EVENTOS!$C57)*(OFFSET(CÁLCULO!$AA$15:$AA$44,0,O$13))),2),0)</f>
        <v>0</v>
      </c>
      <c r="P57" s="620" cm="1">
        <f t="array" aca="1" ref="P57" ca="1">IF(AUTOEVENTO="Manual",ROUND(SUMPRODUCT((CÁLCULO!$M$15:$M$44=EVENTOS!$C57)*(OFFSET(CÁLCULO!$AA$15:$AA$44,0,P$13))),2),0)</f>
        <v>0</v>
      </c>
      <c r="Q57" s="620" cm="1">
        <f t="array" aca="1" ref="Q57" ca="1">IF(AUTOEVENTO="Manual",ROUND(SUMPRODUCT((CÁLCULO!$M$15:$M$44=EVENTOS!$C57)*(OFFSET(CÁLCULO!$AA$15:$AA$44,0,Q$13))),2),0)</f>
        <v>0</v>
      </c>
      <c r="R57" s="620" cm="1">
        <f t="array" aca="1" ref="R57" ca="1">IF(AUTOEVENTO="Manual",ROUND(SUMPRODUCT((CÁLCULO!$M$15:$M$44=EVENTOS!$C57)*(OFFSET(CÁLCULO!$AA$15:$AA$44,0,R$13))),2),0)</f>
        <v>0</v>
      </c>
      <c r="S57" s="620" cm="1">
        <f t="array" aca="1" ref="S57" ca="1">IF(AUTOEVENTO="Manual",ROUND(SUMPRODUCT((CÁLCULO!$M$15:$M$44=EVENTOS!$C57)*(OFFSET(CÁLCULO!$AA$15:$AA$44,0,S$13))),2),0)</f>
        <v>0</v>
      </c>
      <c r="T57" s="620" cm="1">
        <f t="array" aca="1" ref="T57" ca="1">IF(AUTOEVENTO="Manual",ROUND(SUMPRODUCT((CÁLCULO!$M$15:$M$44=EVENTOS!$C57)*(OFFSET(CÁLCULO!$AA$15:$AA$44,0,T$13))),2),0)</f>
        <v>0</v>
      </c>
      <c r="U57" s="620" cm="1">
        <f t="array" aca="1" ref="U57" ca="1">IF(AUTOEVENTO="Manual",ROUND(SUMPRODUCT((CÁLCULO!$M$15:$M$44=EVENTOS!$C57)*(OFFSET(CÁLCULO!$AA$15:$AA$44,0,U$13))),2),0)</f>
        <v>0</v>
      </c>
      <c r="V57" s="620" cm="1">
        <f t="array" aca="1" ref="V57" ca="1">IF(AUTOEVENTO="Manual",ROUND(SUMPRODUCT((CÁLCULO!$M$15:$M$44=EVENTOS!$C57)*(OFFSET(CÁLCULO!$AA$15:$AA$44,0,V$13))),2),0)</f>
        <v>0</v>
      </c>
      <c r="W57" s="620" cm="1">
        <f t="array" aca="1" ref="W57" ca="1">IF(AUTOEVENTO="Manual",ROUND(SUMPRODUCT((CÁLCULO!$M$15:$M$44=EVENTOS!$C57)*(OFFSET(CÁLCULO!$AA$15:$AA$44,0,W$13))),2),0)</f>
        <v>0</v>
      </c>
      <c r="X57" s="620" cm="1">
        <f t="array" aca="1" ref="X57" ca="1">IF(AUTOEVENTO="Manual",ROUND(SUMPRODUCT((CÁLCULO!$M$15:$M$44=EVENTOS!$C57)*(OFFSET(CÁLCULO!$AA$15:$AA$44,0,X$13))),2),0)</f>
        <v>0</v>
      </c>
      <c r="Y57" s="620" cm="1">
        <f t="array" aca="1" ref="Y57" ca="1">IF(AUTOEVENTO="Manual",ROUND(SUMPRODUCT((CÁLCULO!$M$15:$M$44=EVENTOS!$C57)*(OFFSET(CÁLCULO!$AA$15:$AA$44,0,Y$13))),2),0)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IF(AUTOEVENTO="Manual",ROUND(SUMPRODUCT((CÁLCULO!$M$15:$M$44=EVENTOS!$C58)*(OFFSET(CÁLCULO!$AA$15:$AA$44,0,E$13))),2),0)</f>
        <v>0</v>
      </c>
      <c r="F58" s="183">
        <f ca="1">IF(AUTOEVENTO="Manual",ROUND(SUMPRODUCT((CÁLCULO!$M$15:$M$44=EVENTOS!$C58)*(OFFSET(CÁLCULO!$AA$15,0,1):OFFSET(CÁLCULO!$AL$44,0,-1))),2),0)</f>
        <v>0</v>
      </c>
      <c r="G58" s="621" t="str">
        <f t="shared" ca="1" si="6"/>
        <v/>
      </c>
      <c r="H58" s="620" cm="1">
        <f t="array" aca="1" ref="H58" ca="1">IF(AUTOEVENTO="Manual",ROUND(SUMPRODUCT((CÁLCULO!$M$15:$M$44=EVENTOS!$C58)*(OFFSET(CÁLCULO!$AA$15:$AA$44,0,H$13))),2),0)</f>
        <v>0</v>
      </c>
      <c r="I58" s="620" cm="1">
        <f t="array" aca="1" ref="I58" ca="1">IF(AUTOEVENTO="Manual",ROUND(SUMPRODUCT((CÁLCULO!$M$15:$M$44=EVENTOS!$C58)*(OFFSET(CÁLCULO!$AA$15:$AA$44,0,I$13))),2),0)</f>
        <v>0</v>
      </c>
      <c r="J58" s="620" cm="1">
        <f t="array" aca="1" ref="J58" ca="1">IF(AUTOEVENTO="Manual",ROUND(SUMPRODUCT((CÁLCULO!$M$15:$M$44=EVENTOS!$C58)*(OFFSET(CÁLCULO!$AA$15:$AA$44,0,J$13))),2),0)</f>
        <v>0</v>
      </c>
      <c r="K58" s="620" cm="1">
        <f t="array" aca="1" ref="K58" ca="1">IF(AUTOEVENTO="Manual",ROUND(SUMPRODUCT((CÁLCULO!$M$15:$M$44=EVENTOS!$C58)*(OFFSET(CÁLCULO!$AA$15:$AA$44,0,K$13))),2),0)</f>
        <v>0</v>
      </c>
      <c r="L58" s="620" cm="1">
        <f t="array" aca="1" ref="L58" ca="1">IF(AUTOEVENTO="Manual",ROUND(SUMPRODUCT((CÁLCULO!$M$15:$M$44=EVENTOS!$C58)*(OFFSET(CÁLCULO!$AA$15:$AA$44,0,L$13))),2),0)</f>
        <v>0</v>
      </c>
      <c r="M58" s="620" cm="1">
        <f t="array" aca="1" ref="M58" ca="1">IF(AUTOEVENTO="Manual",ROUND(SUMPRODUCT((CÁLCULO!$M$15:$M$44=EVENTOS!$C58)*(OFFSET(CÁLCULO!$AA$15:$AA$44,0,M$13))),2),0)</f>
        <v>0</v>
      </c>
      <c r="N58" s="620" cm="1">
        <f t="array" aca="1" ref="N58" ca="1">IF(AUTOEVENTO="Manual",ROUND(SUMPRODUCT((CÁLCULO!$M$15:$M$44=EVENTOS!$C58)*(OFFSET(CÁLCULO!$AA$15:$AA$44,0,N$13))),2),0)</f>
        <v>0</v>
      </c>
      <c r="O58" s="620" cm="1">
        <f t="array" aca="1" ref="O58" ca="1">IF(AUTOEVENTO="Manual",ROUND(SUMPRODUCT((CÁLCULO!$M$15:$M$44=EVENTOS!$C58)*(OFFSET(CÁLCULO!$AA$15:$AA$44,0,O$13))),2),0)</f>
        <v>0</v>
      </c>
      <c r="P58" s="620" cm="1">
        <f t="array" aca="1" ref="P58" ca="1">IF(AUTOEVENTO="Manual",ROUND(SUMPRODUCT((CÁLCULO!$M$15:$M$44=EVENTOS!$C58)*(OFFSET(CÁLCULO!$AA$15:$AA$44,0,P$13))),2),0)</f>
        <v>0</v>
      </c>
      <c r="Q58" s="620" cm="1">
        <f t="array" aca="1" ref="Q58" ca="1">IF(AUTOEVENTO="Manual",ROUND(SUMPRODUCT((CÁLCULO!$M$15:$M$44=EVENTOS!$C58)*(OFFSET(CÁLCULO!$AA$15:$AA$44,0,Q$13))),2),0)</f>
        <v>0</v>
      </c>
      <c r="R58" s="620" cm="1">
        <f t="array" aca="1" ref="R58" ca="1">IF(AUTOEVENTO="Manual",ROUND(SUMPRODUCT((CÁLCULO!$M$15:$M$44=EVENTOS!$C58)*(OFFSET(CÁLCULO!$AA$15:$AA$44,0,R$13))),2),0)</f>
        <v>0</v>
      </c>
      <c r="S58" s="620" cm="1">
        <f t="array" aca="1" ref="S58" ca="1">IF(AUTOEVENTO="Manual",ROUND(SUMPRODUCT((CÁLCULO!$M$15:$M$44=EVENTOS!$C58)*(OFFSET(CÁLCULO!$AA$15:$AA$44,0,S$13))),2),0)</f>
        <v>0</v>
      </c>
      <c r="T58" s="620" cm="1">
        <f t="array" aca="1" ref="T58" ca="1">IF(AUTOEVENTO="Manual",ROUND(SUMPRODUCT((CÁLCULO!$M$15:$M$44=EVENTOS!$C58)*(OFFSET(CÁLCULO!$AA$15:$AA$44,0,T$13))),2),0)</f>
        <v>0</v>
      </c>
      <c r="U58" s="620" cm="1">
        <f t="array" aca="1" ref="U58" ca="1">IF(AUTOEVENTO="Manual",ROUND(SUMPRODUCT((CÁLCULO!$M$15:$M$44=EVENTOS!$C58)*(OFFSET(CÁLCULO!$AA$15:$AA$44,0,U$13))),2),0)</f>
        <v>0</v>
      </c>
      <c r="V58" s="620" cm="1">
        <f t="array" aca="1" ref="V58" ca="1">IF(AUTOEVENTO="Manual",ROUND(SUMPRODUCT((CÁLCULO!$M$15:$M$44=EVENTOS!$C58)*(OFFSET(CÁLCULO!$AA$15:$AA$44,0,V$13))),2),0)</f>
        <v>0</v>
      </c>
      <c r="W58" s="620" cm="1">
        <f t="array" aca="1" ref="W58" ca="1">IF(AUTOEVENTO="Manual",ROUND(SUMPRODUCT((CÁLCULO!$M$15:$M$44=EVENTOS!$C58)*(OFFSET(CÁLCULO!$AA$15:$AA$44,0,W$13))),2),0)</f>
        <v>0</v>
      </c>
      <c r="X58" s="620" cm="1">
        <f t="array" aca="1" ref="X58" ca="1">IF(AUTOEVENTO="Manual",ROUND(SUMPRODUCT((CÁLCULO!$M$15:$M$44=EVENTOS!$C58)*(OFFSET(CÁLCULO!$AA$15:$AA$44,0,X$13))),2),0)</f>
        <v>0</v>
      </c>
      <c r="Y58" s="620" cm="1">
        <f t="array" aca="1" ref="Y58" ca="1">IF(AUTOEVENTO="Manual",ROUND(SUMPRODUCT((CÁLCULO!$M$15:$M$44=EVENTOS!$C58)*(OFFSET(CÁLCULO!$AA$15:$AA$44,0,Y$13))),2),0)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IF(AUTOEVENTO="Manual",ROUND(SUMPRODUCT((CÁLCULO!$M$15:$M$44=EVENTOS!$C59)*(OFFSET(CÁLCULO!$AA$15:$AA$44,0,E$13))),2),0)</f>
        <v>0</v>
      </c>
      <c r="F59" s="183">
        <f ca="1">IF(AUTOEVENTO="Manual",ROUND(SUMPRODUCT((CÁLCULO!$M$15:$M$44=EVENTOS!$C59)*(OFFSET(CÁLCULO!$AA$15,0,1):OFFSET(CÁLCULO!$AL$44,0,-1))),2),0)</f>
        <v>0</v>
      </c>
      <c r="G59" s="621" t="str">
        <f t="shared" ca="1" si="6"/>
        <v/>
      </c>
      <c r="H59" s="620" cm="1">
        <f t="array" aca="1" ref="H59" ca="1">IF(AUTOEVENTO="Manual",ROUND(SUMPRODUCT((CÁLCULO!$M$15:$M$44=EVENTOS!$C59)*(OFFSET(CÁLCULO!$AA$15:$AA$44,0,H$13))),2),0)</f>
        <v>0</v>
      </c>
      <c r="I59" s="620" cm="1">
        <f t="array" aca="1" ref="I59" ca="1">IF(AUTOEVENTO="Manual",ROUND(SUMPRODUCT((CÁLCULO!$M$15:$M$44=EVENTOS!$C59)*(OFFSET(CÁLCULO!$AA$15:$AA$44,0,I$13))),2),0)</f>
        <v>0</v>
      </c>
      <c r="J59" s="620" cm="1">
        <f t="array" aca="1" ref="J59" ca="1">IF(AUTOEVENTO="Manual",ROUND(SUMPRODUCT((CÁLCULO!$M$15:$M$44=EVENTOS!$C59)*(OFFSET(CÁLCULO!$AA$15:$AA$44,0,J$13))),2),0)</f>
        <v>0</v>
      </c>
      <c r="K59" s="620" cm="1">
        <f t="array" aca="1" ref="K59" ca="1">IF(AUTOEVENTO="Manual",ROUND(SUMPRODUCT((CÁLCULO!$M$15:$M$44=EVENTOS!$C59)*(OFFSET(CÁLCULO!$AA$15:$AA$44,0,K$13))),2),0)</f>
        <v>0</v>
      </c>
      <c r="L59" s="620" cm="1">
        <f t="array" aca="1" ref="L59" ca="1">IF(AUTOEVENTO="Manual",ROUND(SUMPRODUCT((CÁLCULO!$M$15:$M$44=EVENTOS!$C59)*(OFFSET(CÁLCULO!$AA$15:$AA$44,0,L$13))),2),0)</f>
        <v>0</v>
      </c>
      <c r="M59" s="620" cm="1">
        <f t="array" aca="1" ref="M59" ca="1">IF(AUTOEVENTO="Manual",ROUND(SUMPRODUCT((CÁLCULO!$M$15:$M$44=EVENTOS!$C59)*(OFFSET(CÁLCULO!$AA$15:$AA$44,0,M$13))),2),0)</f>
        <v>0</v>
      </c>
      <c r="N59" s="620" cm="1">
        <f t="array" aca="1" ref="N59" ca="1">IF(AUTOEVENTO="Manual",ROUND(SUMPRODUCT((CÁLCULO!$M$15:$M$44=EVENTOS!$C59)*(OFFSET(CÁLCULO!$AA$15:$AA$44,0,N$13))),2),0)</f>
        <v>0</v>
      </c>
      <c r="O59" s="620" cm="1">
        <f t="array" aca="1" ref="O59" ca="1">IF(AUTOEVENTO="Manual",ROUND(SUMPRODUCT((CÁLCULO!$M$15:$M$44=EVENTOS!$C59)*(OFFSET(CÁLCULO!$AA$15:$AA$44,0,O$13))),2),0)</f>
        <v>0</v>
      </c>
      <c r="P59" s="620" cm="1">
        <f t="array" aca="1" ref="P59" ca="1">IF(AUTOEVENTO="Manual",ROUND(SUMPRODUCT((CÁLCULO!$M$15:$M$44=EVENTOS!$C59)*(OFFSET(CÁLCULO!$AA$15:$AA$44,0,P$13))),2),0)</f>
        <v>0</v>
      </c>
      <c r="Q59" s="620" cm="1">
        <f t="array" aca="1" ref="Q59" ca="1">IF(AUTOEVENTO="Manual",ROUND(SUMPRODUCT((CÁLCULO!$M$15:$M$44=EVENTOS!$C59)*(OFFSET(CÁLCULO!$AA$15:$AA$44,0,Q$13))),2),0)</f>
        <v>0</v>
      </c>
      <c r="R59" s="620" cm="1">
        <f t="array" aca="1" ref="R59" ca="1">IF(AUTOEVENTO="Manual",ROUND(SUMPRODUCT((CÁLCULO!$M$15:$M$44=EVENTOS!$C59)*(OFFSET(CÁLCULO!$AA$15:$AA$44,0,R$13))),2),0)</f>
        <v>0</v>
      </c>
      <c r="S59" s="620" cm="1">
        <f t="array" aca="1" ref="S59" ca="1">IF(AUTOEVENTO="Manual",ROUND(SUMPRODUCT((CÁLCULO!$M$15:$M$44=EVENTOS!$C59)*(OFFSET(CÁLCULO!$AA$15:$AA$44,0,S$13))),2),0)</f>
        <v>0</v>
      </c>
      <c r="T59" s="620" cm="1">
        <f t="array" aca="1" ref="T59" ca="1">IF(AUTOEVENTO="Manual",ROUND(SUMPRODUCT((CÁLCULO!$M$15:$M$44=EVENTOS!$C59)*(OFFSET(CÁLCULO!$AA$15:$AA$44,0,T$13))),2),0)</f>
        <v>0</v>
      </c>
      <c r="U59" s="620" cm="1">
        <f t="array" aca="1" ref="U59" ca="1">IF(AUTOEVENTO="Manual",ROUND(SUMPRODUCT((CÁLCULO!$M$15:$M$44=EVENTOS!$C59)*(OFFSET(CÁLCULO!$AA$15:$AA$44,0,U$13))),2),0)</f>
        <v>0</v>
      </c>
      <c r="V59" s="620" cm="1">
        <f t="array" aca="1" ref="V59" ca="1">IF(AUTOEVENTO="Manual",ROUND(SUMPRODUCT((CÁLCULO!$M$15:$M$44=EVENTOS!$C59)*(OFFSET(CÁLCULO!$AA$15:$AA$44,0,V$13))),2),0)</f>
        <v>0</v>
      </c>
      <c r="W59" s="620" cm="1">
        <f t="array" aca="1" ref="W59" ca="1">IF(AUTOEVENTO="Manual",ROUND(SUMPRODUCT((CÁLCULO!$M$15:$M$44=EVENTOS!$C59)*(OFFSET(CÁLCULO!$AA$15:$AA$44,0,W$13))),2),0)</f>
        <v>0</v>
      </c>
      <c r="X59" s="620" cm="1">
        <f t="array" aca="1" ref="X59" ca="1">IF(AUTOEVENTO="Manual",ROUND(SUMPRODUCT((CÁLCULO!$M$15:$M$44=EVENTOS!$C59)*(OFFSET(CÁLCULO!$AA$15:$AA$44,0,X$13))),2),0)</f>
        <v>0</v>
      </c>
      <c r="Y59" s="620" cm="1">
        <f t="array" aca="1" ref="Y59" ca="1">IF(AUTOEVENTO="Manual",ROUND(SUMPRODUCT((CÁLCULO!$M$15:$M$44=EVENTOS!$C59)*(OFFSET(CÁLCULO!$AA$15:$AA$44,0,Y$13))),2),0)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IF(AUTOEVENTO="Manual",ROUND(SUMPRODUCT((CÁLCULO!$M$15:$M$44=EVENTOS!$C60)*(OFFSET(CÁLCULO!$AA$15:$AA$44,0,E$13))),2),0)</f>
        <v>0</v>
      </c>
      <c r="F60" s="183">
        <f ca="1">IF(AUTOEVENTO="Manual",ROUND(SUMPRODUCT((CÁLCULO!$M$15:$M$44=EVENTOS!$C60)*(OFFSET(CÁLCULO!$AA$15,0,1):OFFSET(CÁLCULO!$AL$44,0,-1))),2),0)</f>
        <v>0</v>
      </c>
      <c r="G60" s="621" t="str">
        <f t="shared" ca="1" si="6"/>
        <v/>
      </c>
      <c r="H60" s="620" cm="1">
        <f t="array" aca="1" ref="H60" ca="1">IF(AUTOEVENTO="Manual",ROUND(SUMPRODUCT((CÁLCULO!$M$15:$M$44=EVENTOS!$C60)*(OFFSET(CÁLCULO!$AA$15:$AA$44,0,H$13))),2),0)</f>
        <v>0</v>
      </c>
      <c r="I60" s="620" cm="1">
        <f t="array" aca="1" ref="I60" ca="1">IF(AUTOEVENTO="Manual",ROUND(SUMPRODUCT((CÁLCULO!$M$15:$M$44=EVENTOS!$C60)*(OFFSET(CÁLCULO!$AA$15:$AA$44,0,I$13))),2),0)</f>
        <v>0</v>
      </c>
      <c r="J60" s="620" cm="1">
        <f t="array" aca="1" ref="J60" ca="1">IF(AUTOEVENTO="Manual",ROUND(SUMPRODUCT((CÁLCULO!$M$15:$M$44=EVENTOS!$C60)*(OFFSET(CÁLCULO!$AA$15:$AA$44,0,J$13))),2),0)</f>
        <v>0</v>
      </c>
      <c r="K60" s="620" cm="1">
        <f t="array" aca="1" ref="K60" ca="1">IF(AUTOEVENTO="Manual",ROUND(SUMPRODUCT((CÁLCULO!$M$15:$M$44=EVENTOS!$C60)*(OFFSET(CÁLCULO!$AA$15:$AA$44,0,K$13))),2),0)</f>
        <v>0</v>
      </c>
      <c r="L60" s="620" cm="1">
        <f t="array" aca="1" ref="L60" ca="1">IF(AUTOEVENTO="Manual",ROUND(SUMPRODUCT((CÁLCULO!$M$15:$M$44=EVENTOS!$C60)*(OFFSET(CÁLCULO!$AA$15:$AA$44,0,L$13))),2),0)</f>
        <v>0</v>
      </c>
      <c r="M60" s="620" cm="1">
        <f t="array" aca="1" ref="M60" ca="1">IF(AUTOEVENTO="Manual",ROUND(SUMPRODUCT((CÁLCULO!$M$15:$M$44=EVENTOS!$C60)*(OFFSET(CÁLCULO!$AA$15:$AA$44,0,M$13))),2),0)</f>
        <v>0</v>
      </c>
      <c r="N60" s="620" cm="1">
        <f t="array" aca="1" ref="N60" ca="1">IF(AUTOEVENTO="Manual",ROUND(SUMPRODUCT((CÁLCULO!$M$15:$M$44=EVENTOS!$C60)*(OFFSET(CÁLCULO!$AA$15:$AA$44,0,N$13))),2),0)</f>
        <v>0</v>
      </c>
      <c r="O60" s="620" cm="1">
        <f t="array" aca="1" ref="O60" ca="1">IF(AUTOEVENTO="Manual",ROUND(SUMPRODUCT((CÁLCULO!$M$15:$M$44=EVENTOS!$C60)*(OFFSET(CÁLCULO!$AA$15:$AA$44,0,O$13))),2),0)</f>
        <v>0</v>
      </c>
      <c r="P60" s="620" cm="1">
        <f t="array" aca="1" ref="P60" ca="1">IF(AUTOEVENTO="Manual",ROUND(SUMPRODUCT((CÁLCULO!$M$15:$M$44=EVENTOS!$C60)*(OFFSET(CÁLCULO!$AA$15:$AA$44,0,P$13))),2),0)</f>
        <v>0</v>
      </c>
      <c r="Q60" s="620" cm="1">
        <f t="array" aca="1" ref="Q60" ca="1">IF(AUTOEVENTO="Manual",ROUND(SUMPRODUCT((CÁLCULO!$M$15:$M$44=EVENTOS!$C60)*(OFFSET(CÁLCULO!$AA$15:$AA$44,0,Q$13))),2),0)</f>
        <v>0</v>
      </c>
      <c r="R60" s="620" cm="1">
        <f t="array" aca="1" ref="R60" ca="1">IF(AUTOEVENTO="Manual",ROUND(SUMPRODUCT((CÁLCULO!$M$15:$M$44=EVENTOS!$C60)*(OFFSET(CÁLCULO!$AA$15:$AA$44,0,R$13))),2),0)</f>
        <v>0</v>
      </c>
      <c r="S60" s="620" cm="1">
        <f t="array" aca="1" ref="S60" ca="1">IF(AUTOEVENTO="Manual",ROUND(SUMPRODUCT((CÁLCULO!$M$15:$M$44=EVENTOS!$C60)*(OFFSET(CÁLCULO!$AA$15:$AA$44,0,S$13))),2),0)</f>
        <v>0</v>
      </c>
      <c r="T60" s="620" cm="1">
        <f t="array" aca="1" ref="T60" ca="1">IF(AUTOEVENTO="Manual",ROUND(SUMPRODUCT((CÁLCULO!$M$15:$M$44=EVENTOS!$C60)*(OFFSET(CÁLCULO!$AA$15:$AA$44,0,T$13))),2),0)</f>
        <v>0</v>
      </c>
      <c r="U60" s="620" cm="1">
        <f t="array" aca="1" ref="U60" ca="1">IF(AUTOEVENTO="Manual",ROUND(SUMPRODUCT((CÁLCULO!$M$15:$M$44=EVENTOS!$C60)*(OFFSET(CÁLCULO!$AA$15:$AA$44,0,U$13))),2),0)</f>
        <v>0</v>
      </c>
      <c r="V60" s="620" cm="1">
        <f t="array" aca="1" ref="V60" ca="1">IF(AUTOEVENTO="Manual",ROUND(SUMPRODUCT((CÁLCULO!$M$15:$M$44=EVENTOS!$C60)*(OFFSET(CÁLCULO!$AA$15:$AA$44,0,V$13))),2),0)</f>
        <v>0</v>
      </c>
      <c r="W60" s="620" cm="1">
        <f t="array" aca="1" ref="W60" ca="1">IF(AUTOEVENTO="Manual",ROUND(SUMPRODUCT((CÁLCULO!$M$15:$M$44=EVENTOS!$C60)*(OFFSET(CÁLCULO!$AA$15:$AA$44,0,W$13))),2),0)</f>
        <v>0</v>
      </c>
      <c r="X60" s="620" cm="1">
        <f t="array" aca="1" ref="X60" ca="1">IF(AUTOEVENTO="Manual",ROUND(SUMPRODUCT((CÁLCULO!$M$15:$M$44=EVENTOS!$C60)*(OFFSET(CÁLCULO!$AA$15:$AA$44,0,X$13))),2),0)</f>
        <v>0</v>
      </c>
      <c r="Y60" s="620" cm="1">
        <f t="array" aca="1" ref="Y60" ca="1">IF(AUTOEVENTO="Manual",ROUND(SUMPRODUCT((CÁLCULO!$M$15:$M$44=EVENTOS!$C60)*(OFFSET(CÁLCULO!$AA$15:$AA$44,0,Y$13))),2),0)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IF(AUTOEVENTO="Manual",ROUND(SUMPRODUCT((CÁLCULO!$M$15:$M$44=EVENTOS!$C61)*(OFFSET(CÁLCULO!$AA$15:$AA$44,0,E$13))),2),0)</f>
        <v>0</v>
      </c>
      <c r="F61" s="183">
        <f ca="1">IF(AUTOEVENTO="Manual",ROUND(SUMPRODUCT((CÁLCULO!$M$15:$M$44=EVENTOS!$C61)*(OFFSET(CÁLCULO!$AA$15,0,1):OFFSET(CÁLCULO!$AL$44,0,-1))),2),0)</f>
        <v>0</v>
      </c>
      <c r="G61" s="621" t="str">
        <f t="shared" ca="1" si="6"/>
        <v/>
      </c>
      <c r="H61" s="620" cm="1">
        <f t="array" aca="1" ref="H61" ca="1">IF(AUTOEVENTO="Manual",ROUND(SUMPRODUCT((CÁLCULO!$M$15:$M$44=EVENTOS!$C61)*(OFFSET(CÁLCULO!$AA$15:$AA$44,0,H$13))),2),0)</f>
        <v>0</v>
      </c>
      <c r="I61" s="620" cm="1">
        <f t="array" aca="1" ref="I61" ca="1">IF(AUTOEVENTO="Manual",ROUND(SUMPRODUCT((CÁLCULO!$M$15:$M$44=EVENTOS!$C61)*(OFFSET(CÁLCULO!$AA$15:$AA$44,0,I$13))),2),0)</f>
        <v>0</v>
      </c>
      <c r="J61" s="620" cm="1">
        <f t="array" aca="1" ref="J61" ca="1">IF(AUTOEVENTO="Manual",ROUND(SUMPRODUCT((CÁLCULO!$M$15:$M$44=EVENTOS!$C61)*(OFFSET(CÁLCULO!$AA$15:$AA$44,0,J$13))),2),0)</f>
        <v>0</v>
      </c>
      <c r="K61" s="620" cm="1">
        <f t="array" aca="1" ref="K61" ca="1">IF(AUTOEVENTO="Manual",ROUND(SUMPRODUCT((CÁLCULO!$M$15:$M$44=EVENTOS!$C61)*(OFFSET(CÁLCULO!$AA$15:$AA$44,0,K$13))),2),0)</f>
        <v>0</v>
      </c>
      <c r="L61" s="620" cm="1">
        <f t="array" aca="1" ref="L61" ca="1">IF(AUTOEVENTO="Manual",ROUND(SUMPRODUCT((CÁLCULO!$M$15:$M$44=EVENTOS!$C61)*(OFFSET(CÁLCULO!$AA$15:$AA$44,0,L$13))),2),0)</f>
        <v>0</v>
      </c>
      <c r="M61" s="620" cm="1">
        <f t="array" aca="1" ref="M61" ca="1">IF(AUTOEVENTO="Manual",ROUND(SUMPRODUCT((CÁLCULO!$M$15:$M$44=EVENTOS!$C61)*(OFFSET(CÁLCULO!$AA$15:$AA$44,0,M$13))),2),0)</f>
        <v>0</v>
      </c>
      <c r="N61" s="620" cm="1">
        <f t="array" aca="1" ref="N61" ca="1">IF(AUTOEVENTO="Manual",ROUND(SUMPRODUCT((CÁLCULO!$M$15:$M$44=EVENTOS!$C61)*(OFFSET(CÁLCULO!$AA$15:$AA$44,0,N$13))),2),0)</f>
        <v>0</v>
      </c>
      <c r="O61" s="620" cm="1">
        <f t="array" aca="1" ref="O61" ca="1">IF(AUTOEVENTO="Manual",ROUND(SUMPRODUCT((CÁLCULO!$M$15:$M$44=EVENTOS!$C61)*(OFFSET(CÁLCULO!$AA$15:$AA$44,0,O$13))),2),0)</f>
        <v>0</v>
      </c>
      <c r="P61" s="620" cm="1">
        <f t="array" aca="1" ref="P61" ca="1">IF(AUTOEVENTO="Manual",ROUND(SUMPRODUCT((CÁLCULO!$M$15:$M$44=EVENTOS!$C61)*(OFFSET(CÁLCULO!$AA$15:$AA$44,0,P$13))),2),0)</f>
        <v>0</v>
      </c>
      <c r="Q61" s="620" cm="1">
        <f t="array" aca="1" ref="Q61" ca="1">IF(AUTOEVENTO="Manual",ROUND(SUMPRODUCT((CÁLCULO!$M$15:$M$44=EVENTOS!$C61)*(OFFSET(CÁLCULO!$AA$15:$AA$44,0,Q$13))),2),0)</f>
        <v>0</v>
      </c>
      <c r="R61" s="620" cm="1">
        <f t="array" aca="1" ref="R61" ca="1">IF(AUTOEVENTO="Manual",ROUND(SUMPRODUCT((CÁLCULO!$M$15:$M$44=EVENTOS!$C61)*(OFFSET(CÁLCULO!$AA$15:$AA$44,0,R$13))),2),0)</f>
        <v>0</v>
      </c>
      <c r="S61" s="620" cm="1">
        <f t="array" aca="1" ref="S61" ca="1">IF(AUTOEVENTO="Manual",ROUND(SUMPRODUCT((CÁLCULO!$M$15:$M$44=EVENTOS!$C61)*(OFFSET(CÁLCULO!$AA$15:$AA$44,0,S$13))),2),0)</f>
        <v>0</v>
      </c>
      <c r="T61" s="620" cm="1">
        <f t="array" aca="1" ref="T61" ca="1">IF(AUTOEVENTO="Manual",ROUND(SUMPRODUCT((CÁLCULO!$M$15:$M$44=EVENTOS!$C61)*(OFFSET(CÁLCULO!$AA$15:$AA$44,0,T$13))),2),0)</f>
        <v>0</v>
      </c>
      <c r="U61" s="620" cm="1">
        <f t="array" aca="1" ref="U61" ca="1">IF(AUTOEVENTO="Manual",ROUND(SUMPRODUCT((CÁLCULO!$M$15:$M$44=EVENTOS!$C61)*(OFFSET(CÁLCULO!$AA$15:$AA$44,0,U$13))),2),0)</f>
        <v>0</v>
      </c>
      <c r="V61" s="620" cm="1">
        <f t="array" aca="1" ref="V61" ca="1">IF(AUTOEVENTO="Manual",ROUND(SUMPRODUCT((CÁLCULO!$M$15:$M$44=EVENTOS!$C61)*(OFFSET(CÁLCULO!$AA$15:$AA$44,0,V$13))),2),0)</f>
        <v>0</v>
      </c>
      <c r="W61" s="620" cm="1">
        <f t="array" aca="1" ref="W61" ca="1">IF(AUTOEVENTO="Manual",ROUND(SUMPRODUCT((CÁLCULO!$M$15:$M$44=EVENTOS!$C61)*(OFFSET(CÁLCULO!$AA$15:$AA$44,0,W$13))),2),0)</f>
        <v>0</v>
      </c>
      <c r="X61" s="620" cm="1">
        <f t="array" aca="1" ref="X61" ca="1">IF(AUTOEVENTO="Manual",ROUND(SUMPRODUCT((CÁLCULO!$M$15:$M$44=EVENTOS!$C61)*(OFFSET(CÁLCULO!$AA$15:$AA$44,0,X$13))),2),0)</f>
        <v>0</v>
      </c>
      <c r="Y61" s="620" cm="1">
        <f t="array" aca="1" ref="Y61" ca="1">IF(AUTOEVENTO="Manual",ROUND(SUMPRODUCT((CÁLCULO!$M$15:$M$44=EVENTOS!$C61)*(OFFSET(CÁLCULO!$AA$15:$AA$44,0,Y$13))),2),0)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IF(AUTOEVENTO="Manual",ROUND(SUMPRODUCT((CÁLCULO!$M$15:$M$44=EVENTOS!$C62)*(OFFSET(CÁLCULO!$AA$15:$AA$44,0,E$13))),2),0)</f>
        <v>0</v>
      </c>
      <c r="F62" s="183">
        <f ca="1">IF(AUTOEVENTO="Manual",ROUND(SUMPRODUCT((CÁLCULO!$M$15:$M$44=EVENTOS!$C62)*(OFFSET(CÁLCULO!$AA$15,0,1):OFFSET(CÁLCULO!$AL$44,0,-1))),2),0)</f>
        <v>0</v>
      </c>
      <c r="G62" s="621" t="str">
        <f t="shared" ca="1" si="6"/>
        <v/>
      </c>
      <c r="H62" s="620" cm="1">
        <f t="array" aca="1" ref="H62" ca="1">IF(AUTOEVENTO="Manual",ROUND(SUMPRODUCT((CÁLCULO!$M$15:$M$44=EVENTOS!$C62)*(OFFSET(CÁLCULO!$AA$15:$AA$44,0,H$13))),2),0)</f>
        <v>0</v>
      </c>
      <c r="I62" s="620" cm="1">
        <f t="array" aca="1" ref="I62" ca="1">IF(AUTOEVENTO="Manual",ROUND(SUMPRODUCT((CÁLCULO!$M$15:$M$44=EVENTOS!$C62)*(OFFSET(CÁLCULO!$AA$15:$AA$44,0,I$13))),2),0)</f>
        <v>0</v>
      </c>
      <c r="J62" s="620" cm="1">
        <f t="array" aca="1" ref="J62" ca="1">IF(AUTOEVENTO="Manual",ROUND(SUMPRODUCT((CÁLCULO!$M$15:$M$44=EVENTOS!$C62)*(OFFSET(CÁLCULO!$AA$15:$AA$44,0,J$13))),2),0)</f>
        <v>0</v>
      </c>
      <c r="K62" s="620" cm="1">
        <f t="array" aca="1" ref="K62" ca="1">IF(AUTOEVENTO="Manual",ROUND(SUMPRODUCT((CÁLCULO!$M$15:$M$44=EVENTOS!$C62)*(OFFSET(CÁLCULO!$AA$15:$AA$44,0,K$13))),2),0)</f>
        <v>0</v>
      </c>
      <c r="L62" s="620" cm="1">
        <f t="array" aca="1" ref="L62" ca="1">IF(AUTOEVENTO="Manual",ROUND(SUMPRODUCT((CÁLCULO!$M$15:$M$44=EVENTOS!$C62)*(OFFSET(CÁLCULO!$AA$15:$AA$44,0,L$13))),2),0)</f>
        <v>0</v>
      </c>
      <c r="M62" s="620" cm="1">
        <f t="array" aca="1" ref="M62" ca="1">IF(AUTOEVENTO="Manual",ROUND(SUMPRODUCT((CÁLCULO!$M$15:$M$44=EVENTOS!$C62)*(OFFSET(CÁLCULO!$AA$15:$AA$44,0,M$13))),2),0)</f>
        <v>0</v>
      </c>
      <c r="N62" s="620" cm="1">
        <f t="array" aca="1" ref="N62" ca="1">IF(AUTOEVENTO="Manual",ROUND(SUMPRODUCT((CÁLCULO!$M$15:$M$44=EVENTOS!$C62)*(OFFSET(CÁLCULO!$AA$15:$AA$44,0,N$13))),2),0)</f>
        <v>0</v>
      </c>
      <c r="O62" s="620" cm="1">
        <f t="array" aca="1" ref="O62" ca="1">IF(AUTOEVENTO="Manual",ROUND(SUMPRODUCT((CÁLCULO!$M$15:$M$44=EVENTOS!$C62)*(OFFSET(CÁLCULO!$AA$15:$AA$44,0,O$13))),2),0)</f>
        <v>0</v>
      </c>
      <c r="P62" s="620" cm="1">
        <f t="array" aca="1" ref="P62" ca="1">IF(AUTOEVENTO="Manual",ROUND(SUMPRODUCT((CÁLCULO!$M$15:$M$44=EVENTOS!$C62)*(OFFSET(CÁLCULO!$AA$15:$AA$44,0,P$13))),2),0)</f>
        <v>0</v>
      </c>
      <c r="Q62" s="620" cm="1">
        <f t="array" aca="1" ref="Q62" ca="1">IF(AUTOEVENTO="Manual",ROUND(SUMPRODUCT((CÁLCULO!$M$15:$M$44=EVENTOS!$C62)*(OFFSET(CÁLCULO!$AA$15:$AA$44,0,Q$13))),2),0)</f>
        <v>0</v>
      </c>
      <c r="R62" s="620" cm="1">
        <f t="array" aca="1" ref="R62" ca="1">IF(AUTOEVENTO="Manual",ROUND(SUMPRODUCT((CÁLCULO!$M$15:$M$44=EVENTOS!$C62)*(OFFSET(CÁLCULO!$AA$15:$AA$44,0,R$13))),2),0)</f>
        <v>0</v>
      </c>
      <c r="S62" s="620" cm="1">
        <f t="array" aca="1" ref="S62" ca="1">IF(AUTOEVENTO="Manual",ROUND(SUMPRODUCT((CÁLCULO!$M$15:$M$44=EVENTOS!$C62)*(OFFSET(CÁLCULO!$AA$15:$AA$44,0,S$13))),2),0)</f>
        <v>0</v>
      </c>
      <c r="T62" s="620" cm="1">
        <f t="array" aca="1" ref="T62" ca="1">IF(AUTOEVENTO="Manual",ROUND(SUMPRODUCT((CÁLCULO!$M$15:$M$44=EVENTOS!$C62)*(OFFSET(CÁLCULO!$AA$15:$AA$44,0,T$13))),2),0)</f>
        <v>0</v>
      </c>
      <c r="U62" s="620" cm="1">
        <f t="array" aca="1" ref="U62" ca="1">IF(AUTOEVENTO="Manual",ROUND(SUMPRODUCT((CÁLCULO!$M$15:$M$44=EVENTOS!$C62)*(OFFSET(CÁLCULO!$AA$15:$AA$44,0,U$13))),2),0)</f>
        <v>0</v>
      </c>
      <c r="V62" s="620" cm="1">
        <f t="array" aca="1" ref="V62" ca="1">IF(AUTOEVENTO="Manual",ROUND(SUMPRODUCT((CÁLCULO!$M$15:$M$44=EVENTOS!$C62)*(OFFSET(CÁLCULO!$AA$15:$AA$44,0,V$13))),2),0)</f>
        <v>0</v>
      </c>
      <c r="W62" s="620" cm="1">
        <f t="array" aca="1" ref="W62" ca="1">IF(AUTOEVENTO="Manual",ROUND(SUMPRODUCT((CÁLCULO!$M$15:$M$44=EVENTOS!$C62)*(OFFSET(CÁLCULO!$AA$15:$AA$44,0,W$13))),2),0)</f>
        <v>0</v>
      </c>
      <c r="X62" s="620" cm="1">
        <f t="array" aca="1" ref="X62" ca="1">IF(AUTOEVENTO="Manual",ROUND(SUMPRODUCT((CÁLCULO!$M$15:$M$44=EVENTOS!$C62)*(OFFSET(CÁLCULO!$AA$15:$AA$44,0,X$13))),2),0)</f>
        <v>0</v>
      </c>
      <c r="Y62" s="620" cm="1">
        <f t="array" aca="1" ref="Y62" ca="1">IF(AUTOEVENTO="Manual",ROUND(SUMPRODUCT((CÁLCULO!$M$15:$M$44=EVENTOS!$C62)*(OFFSET(CÁLCULO!$AA$15:$AA$44,0,Y$13))),2),0)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IF(AUTOEVENTO="Manual",ROUND(SUMPRODUCT((CÁLCULO!$M$15:$M$44=EVENTOS!$C63)*(OFFSET(CÁLCULO!$AA$15:$AA$44,0,E$13))),2),0)</f>
        <v>0</v>
      </c>
      <c r="F63" s="183">
        <f ca="1">IF(AUTOEVENTO="Manual",ROUND(SUMPRODUCT((CÁLCULO!$M$15:$M$44=EVENTOS!$C63)*(OFFSET(CÁLCULO!$AA$15,0,1):OFFSET(CÁLCULO!$AL$44,0,-1))),2),0)</f>
        <v>0</v>
      </c>
      <c r="G63" s="621" t="str">
        <f t="shared" ca="1" si="6"/>
        <v/>
      </c>
      <c r="H63" s="620" cm="1">
        <f t="array" aca="1" ref="H63" ca="1">IF(AUTOEVENTO="Manual",ROUND(SUMPRODUCT((CÁLCULO!$M$15:$M$44=EVENTOS!$C63)*(OFFSET(CÁLCULO!$AA$15:$AA$44,0,H$13))),2),0)</f>
        <v>0</v>
      </c>
      <c r="I63" s="620" cm="1">
        <f t="array" aca="1" ref="I63" ca="1">IF(AUTOEVENTO="Manual",ROUND(SUMPRODUCT((CÁLCULO!$M$15:$M$44=EVENTOS!$C63)*(OFFSET(CÁLCULO!$AA$15:$AA$44,0,I$13))),2),0)</f>
        <v>0</v>
      </c>
      <c r="J63" s="620" cm="1">
        <f t="array" aca="1" ref="J63" ca="1">IF(AUTOEVENTO="Manual",ROUND(SUMPRODUCT((CÁLCULO!$M$15:$M$44=EVENTOS!$C63)*(OFFSET(CÁLCULO!$AA$15:$AA$44,0,J$13))),2),0)</f>
        <v>0</v>
      </c>
      <c r="K63" s="620" cm="1">
        <f t="array" aca="1" ref="K63" ca="1">IF(AUTOEVENTO="Manual",ROUND(SUMPRODUCT((CÁLCULO!$M$15:$M$44=EVENTOS!$C63)*(OFFSET(CÁLCULO!$AA$15:$AA$44,0,K$13))),2),0)</f>
        <v>0</v>
      </c>
      <c r="L63" s="620" cm="1">
        <f t="array" aca="1" ref="L63" ca="1">IF(AUTOEVENTO="Manual",ROUND(SUMPRODUCT((CÁLCULO!$M$15:$M$44=EVENTOS!$C63)*(OFFSET(CÁLCULO!$AA$15:$AA$44,0,L$13))),2),0)</f>
        <v>0</v>
      </c>
      <c r="M63" s="620" cm="1">
        <f t="array" aca="1" ref="M63" ca="1">IF(AUTOEVENTO="Manual",ROUND(SUMPRODUCT((CÁLCULO!$M$15:$M$44=EVENTOS!$C63)*(OFFSET(CÁLCULO!$AA$15:$AA$44,0,M$13))),2),0)</f>
        <v>0</v>
      </c>
      <c r="N63" s="620" cm="1">
        <f t="array" aca="1" ref="N63" ca="1">IF(AUTOEVENTO="Manual",ROUND(SUMPRODUCT((CÁLCULO!$M$15:$M$44=EVENTOS!$C63)*(OFFSET(CÁLCULO!$AA$15:$AA$44,0,N$13))),2),0)</f>
        <v>0</v>
      </c>
      <c r="O63" s="620" cm="1">
        <f t="array" aca="1" ref="O63" ca="1">IF(AUTOEVENTO="Manual",ROUND(SUMPRODUCT((CÁLCULO!$M$15:$M$44=EVENTOS!$C63)*(OFFSET(CÁLCULO!$AA$15:$AA$44,0,O$13))),2),0)</f>
        <v>0</v>
      </c>
      <c r="P63" s="620" cm="1">
        <f t="array" aca="1" ref="P63" ca="1">IF(AUTOEVENTO="Manual",ROUND(SUMPRODUCT((CÁLCULO!$M$15:$M$44=EVENTOS!$C63)*(OFFSET(CÁLCULO!$AA$15:$AA$44,0,P$13))),2),0)</f>
        <v>0</v>
      </c>
      <c r="Q63" s="620" cm="1">
        <f t="array" aca="1" ref="Q63" ca="1">IF(AUTOEVENTO="Manual",ROUND(SUMPRODUCT((CÁLCULO!$M$15:$M$44=EVENTOS!$C63)*(OFFSET(CÁLCULO!$AA$15:$AA$44,0,Q$13))),2),0)</f>
        <v>0</v>
      </c>
      <c r="R63" s="620" cm="1">
        <f t="array" aca="1" ref="R63" ca="1">IF(AUTOEVENTO="Manual",ROUND(SUMPRODUCT((CÁLCULO!$M$15:$M$44=EVENTOS!$C63)*(OFFSET(CÁLCULO!$AA$15:$AA$44,0,R$13))),2),0)</f>
        <v>0</v>
      </c>
      <c r="S63" s="620" cm="1">
        <f t="array" aca="1" ref="S63" ca="1">IF(AUTOEVENTO="Manual",ROUND(SUMPRODUCT((CÁLCULO!$M$15:$M$44=EVENTOS!$C63)*(OFFSET(CÁLCULO!$AA$15:$AA$44,0,S$13))),2),0)</f>
        <v>0</v>
      </c>
      <c r="T63" s="620" cm="1">
        <f t="array" aca="1" ref="T63" ca="1">IF(AUTOEVENTO="Manual",ROUND(SUMPRODUCT((CÁLCULO!$M$15:$M$44=EVENTOS!$C63)*(OFFSET(CÁLCULO!$AA$15:$AA$44,0,T$13))),2),0)</f>
        <v>0</v>
      </c>
      <c r="U63" s="620" cm="1">
        <f t="array" aca="1" ref="U63" ca="1">IF(AUTOEVENTO="Manual",ROUND(SUMPRODUCT((CÁLCULO!$M$15:$M$44=EVENTOS!$C63)*(OFFSET(CÁLCULO!$AA$15:$AA$44,0,U$13))),2),0)</f>
        <v>0</v>
      </c>
      <c r="V63" s="620" cm="1">
        <f t="array" aca="1" ref="V63" ca="1">IF(AUTOEVENTO="Manual",ROUND(SUMPRODUCT((CÁLCULO!$M$15:$M$44=EVENTOS!$C63)*(OFFSET(CÁLCULO!$AA$15:$AA$44,0,V$13))),2),0)</f>
        <v>0</v>
      </c>
      <c r="W63" s="620" cm="1">
        <f t="array" aca="1" ref="W63" ca="1">IF(AUTOEVENTO="Manual",ROUND(SUMPRODUCT((CÁLCULO!$M$15:$M$44=EVENTOS!$C63)*(OFFSET(CÁLCULO!$AA$15:$AA$44,0,W$13))),2),0)</f>
        <v>0</v>
      </c>
      <c r="X63" s="620" cm="1">
        <f t="array" aca="1" ref="X63" ca="1">IF(AUTOEVENTO="Manual",ROUND(SUMPRODUCT((CÁLCULO!$M$15:$M$44=EVENTOS!$C63)*(OFFSET(CÁLCULO!$AA$15:$AA$44,0,X$13))),2),0)</f>
        <v>0</v>
      </c>
      <c r="Y63" s="620" cm="1">
        <f t="array" aca="1" ref="Y63" ca="1">IF(AUTOEVENTO="Manual",ROUND(SUMPRODUCT((CÁLCULO!$M$15:$M$44=EVENTOS!$C63)*(OFFSET(CÁLCULO!$AA$15:$AA$44,0,Y$13))),2),0)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IF(AUTOEVENTO="Manual",ROUND(SUMPRODUCT((CÁLCULO!$M$15:$M$44=EVENTOS!$C64)*(OFFSET(CÁLCULO!$AA$15:$AA$44,0,E$13))),2),0)</f>
        <v>0</v>
      </c>
      <c r="F64" s="183">
        <f ca="1">IF(AUTOEVENTO="Manual",ROUND(SUMPRODUCT((CÁLCULO!$M$15:$M$44=EVENTOS!$C64)*(OFFSET(CÁLCULO!$AA$15,0,1):OFFSET(CÁLCULO!$AL$44,0,-1))),2),0)</f>
        <v>0</v>
      </c>
      <c r="G64" s="621" t="str">
        <f t="shared" ca="1" si="6"/>
        <v/>
      </c>
      <c r="H64" s="620" cm="1">
        <f t="array" aca="1" ref="H64" ca="1">IF(AUTOEVENTO="Manual",ROUND(SUMPRODUCT((CÁLCULO!$M$15:$M$44=EVENTOS!$C64)*(OFFSET(CÁLCULO!$AA$15:$AA$44,0,H$13))),2),0)</f>
        <v>0</v>
      </c>
      <c r="I64" s="620" cm="1">
        <f t="array" aca="1" ref="I64" ca="1">IF(AUTOEVENTO="Manual",ROUND(SUMPRODUCT((CÁLCULO!$M$15:$M$44=EVENTOS!$C64)*(OFFSET(CÁLCULO!$AA$15:$AA$44,0,I$13))),2),0)</f>
        <v>0</v>
      </c>
      <c r="J64" s="620" cm="1">
        <f t="array" aca="1" ref="J64" ca="1">IF(AUTOEVENTO="Manual",ROUND(SUMPRODUCT((CÁLCULO!$M$15:$M$44=EVENTOS!$C64)*(OFFSET(CÁLCULO!$AA$15:$AA$44,0,J$13))),2),0)</f>
        <v>0</v>
      </c>
      <c r="K64" s="620" cm="1">
        <f t="array" aca="1" ref="K64" ca="1">IF(AUTOEVENTO="Manual",ROUND(SUMPRODUCT((CÁLCULO!$M$15:$M$44=EVENTOS!$C64)*(OFFSET(CÁLCULO!$AA$15:$AA$44,0,K$13))),2),0)</f>
        <v>0</v>
      </c>
      <c r="L64" s="620" cm="1">
        <f t="array" aca="1" ref="L64" ca="1">IF(AUTOEVENTO="Manual",ROUND(SUMPRODUCT((CÁLCULO!$M$15:$M$44=EVENTOS!$C64)*(OFFSET(CÁLCULO!$AA$15:$AA$44,0,L$13))),2),0)</f>
        <v>0</v>
      </c>
      <c r="M64" s="620" cm="1">
        <f t="array" aca="1" ref="M64" ca="1">IF(AUTOEVENTO="Manual",ROUND(SUMPRODUCT((CÁLCULO!$M$15:$M$44=EVENTOS!$C64)*(OFFSET(CÁLCULO!$AA$15:$AA$44,0,M$13))),2),0)</f>
        <v>0</v>
      </c>
      <c r="N64" s="620" cm="1">
        <f t="array" aca="1" ref="N64" ca="1">IF(AUTOEVENTO="Manual",ROUND(SUMPRODUCT((CÁLCULO!$M$15:$M$44=EVENTOS!$C64)*(OFFSET(CÁLCULO!$AA$15:$AA$44,0,N$13))),2),0)</f>
        <v>0</v>
      </c>
      <c r="O64" s="620" cm="1">
        <f t="array" aca="1" ref="O64" ca="1">IF(AUTOEVENTO="Manual",ROUND(SUMPRODUCT((CÁLCULO!$M$15:$M$44=EVENTOS!$C64)*(OFFSET(CÁLCULO!$AA$15:$AA$44,0,O$13))),2),0)</f>
        <v>0</v>
      </c>
      <c r="P64" s="620" cm="1">
        <f t="array" aca="1" ref="P64" ca="1">IF(AUTOEVENTO="Manual",ROUND(SUMPRODUCT((CÁLCULO!$M$15:$M$44=EVENTOS!$C64)*(OFFSET(CÁLCULO!$AA$15:$AA$44,0,P$13))),2),0)</f>
        <v>0</v>
      </c>
      <c r="Q64" s="620" cm="1">
        <f t="array" aca="1" ref="Q64" ca="1">IF(AUTOEVENTO="Manual",ROUND(SUMPRODUCT((CÁLCULO!$M$15:$M$44=EVENTOS!$C64)*(OFFSET(CÁLCULO!$AA$15:$AA$44,0,Q$13))),2),0)</f>
        <v>0</v>
      </c>
      <c r="R64" s="620" cm="1">
        <f t="array" aca="1" ref="R64" ca="1">IF(AUTOEVENTO="Manual",ROUND(SUMPRODUCT((CÁLCULO!$M$15:$M$44=EVENTOS!$C64)*(OFFSET(CÁLCULO!$AA$15:$AA$44,0,R$13))),2),0)</f>
        <v>0</v>
      </c>
      <c r="S64" s="620" cm="1">
        <f t="array" aca="1" ref="S64" ca="1">IF(AUTOEVENTO="Manual",ROUND(SUMPRODUCT((CÁLCULO!$M$15:$M$44=EVENTOS!$C64)*(OFFSET(CÁLCULO!$AA$15:$AA$44,0,S$13))),2),0)</f>
        <v>0</v>
      </c>
      <c r="T64" s="620" cm="1">
        <f t="array" aca="1" ref="T64" ca="1">IF(AUTOEVENTO="Manual",ROUND(SUMPRODUCT((CÁLCULO!$M$15:$M$44=EVENTOS!$C64)*(OFFSET(CÁLCULO!$AA$15:$AA$44,0,T$13))),2),0)</f>
        <v>0</v>
      </c>
      <c r="U64" s="620" cm="1">
        <f t="array" aca="1" ref="U64" ca="1">IF(AUTOEVENTO="Manual",ROUND(SUMPRODUCT((CÁLCULO!$M$15:$M$44=EVENTOS!$C64)*(OFFSET(CÁLCULO!$AA$15:$AA$44,0,U$13))),2),0)</f>
        <v>0</v>
      </c>
      <c r="V64" s="620" cm="1">
        <f t="array" aca="1" ref="V64" ca="1">IF(AUTOEVENTO="Manual",ROUND(SUMPRODUCT((CÁLCULO!$M$15:$M$44=EVENTOS!$C64)*(OFFSET(CÁLCULO!$AA$15:$AA$44,0,V$13))),2),0)</f>
        <v>0</v>
      </c>
      <c r="W64" s="620" cm="1">
        <f t="array" aca="1" ref="W64" ca="1">IF(AUTOEVENTO="Manual",ROUND(SUMPRODUCT((CÁLCULO!$M$15:$M$44=EVENTOS!$C64)*(OFFSET(CÁLCULO!$AA$15:$AA$44,0,W$13))),2),0)</f>
        <v>0</v>
      </c>
      <c r="X64" s="620" cm="1">
        <f t="array" aca="1" ref="X64" ca="1">IF(AUTOEVENTO="Manual",ROUND(SUMPRODUCT((CÁLCULO!$M$15:$M$44=EVENTOS!$C64)*(OFFSET(CÁLCULO!$AA$15:$AA$44,0,X$13))),2),0)</f>
        <v>0</v>
      </c>
      <c r="Y64" s="620" cm="1">
        <f t="array" aca="1" ref="Y64" ca="1">IF(AUTOEVENTO="Manual",ROUND(SUMPRODUCT((CÁLCULO!$M$15:$M$44=EVENTOS!$C64)*(OFFSET(CÁLCULO!$AA$15:$AA$44,0,Y$13))),2),0)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Ivorá/RS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Vitor Camargo Costa</v>
      </c>
      <c r="V70" s="398" t="str">
        <f t="array" aca="1" ref="V70:V72" ca="1">OFFSET(Import.RespOrçamento,0,-1) &amp; " " &amp; Import.RespOrçamento</f>
        <v>Nome: Vitor Camargo Costa</v>
      </c>
    </row>
    <row r="71" spans="1:25" x14ac:dyDescent="0.2">
      <c r="A71" s="506" t="s">
        <v>536</v>
      </c>
      <c r="D71" s="494">
        <f>DADOS!$C$25</f>
        <v>46169</v>
      </c>
      <c r="L71" s="398" t="str">
        <f ca="1"/>
        <v>CREA/CAU: RS 203284</v>
      </c>
      <c r="V71" s="398" t="str">
        <f ca="1"/>
        <v>CREA/CAU: RS 203284</v>
      </c>
    </row>
    <row r="72" spans="1:25" x14ac:dyDescent="0.2">
      <c r="A72" s="506" t="s">
        <v>536</v>
      </c>
      <c r="D72" s="9" t="s">
        <v>694</v>
      </c>
      <c r="L72" s="398" t="str">
        <f ca="1"/>
        <v>ART/RRT: 14443886</v>
      </c>
      <c r="V72" s="398" t="str">
        <f ca="1"/>
        <v>ART/RRT: 14443886</v>
      </c>
    </row>
  </sheetData>
  <sheetProtection algorithmName="SHA-512" hashValue="HTX/lMk0v7GRDiNyvbd/ch5Bb2w9XgYUJ2oaQMHU6TErbd8wswfn8hOY/GPFaXlgHDxWyzW5wdPuQwgN4VAPAw==" saltValue="0QaD9OkeKoKE379RaVLtbg=="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455" priority="1" stopIfTrue="1">
      <formula>OR(AUTOEVENTO&lt;&gt;"Manual",ACOMPANHAMENTO="BM",C$10=0,C$13=0,$C1=" ")</formula>
    </cfRule>
  </conditionalFormatting>
  <conditionalFormatting sqref="A15 C15:XFD15">
    <cfRule type="expression" dxfId="454"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12"/>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2</v>
      </c>
      <c r="O1" s="632" cm="1">
        <f t="array" ref="O1">IF(OR(ACOMPANHAMENTO="BM",N1=0,O12=""),0,1)</f>
        <v>0</v>
      </c>
      <c r="P1" t="s">
        <v>764</v>
      </c>
      <c r="Q1" s="632" cm="1">
        <f t="array" ref="Q1">IF(OR(ACOMPANHAMENTO="BM",P1=0,Q12=""),0,1)</f>
        <v>1</v>
      </c>
      <c r="R1" s="632" cm="1">
        <f t="array" ref="R1">IF(OR(ACOMPANHAMENTO="BM",Q1=0,R12=""),0,1)</f>
        <v>1</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6" t="str" cm="1">
        <f t="array" ref="F6">IF(ACOMPANHAMENTO="BM","MEMÓRIA DE CÁLCULO","PLQ - PLANILHA DE LEVANTAMENTO DE QUANTIDADES")</f>
        <v>PLQ - PLANILHA DE LEVANTAMENTO DE QUANTIDADES</v>
      </c>
      <c r="G6" s="736"/>
      <c r="H6" s="736"/>
      <c r="I6" s="141"/>
      <c r="K6" s="141"/>
      <c r="L6" s="141"/>
      <c r="M6" s="142"/>
      <c r="N6" s="141"/>
      <c r="P6" s="141"/>
      <c r="Q6" s="737" t="s">
        <v>644</v>
      </c>
      <c r="R6" s="738"/>
      <c r="Y6" s="682" t="s">
        <v>644</v>
      </c>
      <c r="Z6" s="682"/>
    </row>
    <row r="7" spans="1:59" ht="15" customHeight="1" x14ac:dyDescent="0.2">
      <c r="F7" s="739" t="str" cm="1">
        <f t="array" ref="F7">IF(ACOMPANHAMENTO="BM","","Memória de Cálculo")&amp;" - "&amp;import.recurso</f>
        <v>Memória de Cálculo - OGU</v>
      </c>
      <c r="G7" s="739"/>
      <c r="H7" s="739"/>
      <c r="I7" s="143"/>
      <c r="K7" s="143"/>
      <c r="L7" s="143"/>
      <c r="M7" s="144"/>
      <c r="N7" s="143"/>
      <c r="P7" s="143"/>
      <c r="Q7" s="740" t="s">
        <v>647</v>
      </c>
      <c r="R7" s="741"/>
      <c r="Y7" s="683" t="s">
        <v>647</v>
      </c>
      <c r="Z7" s="683"/>
    </row>
    <row r="8" spans="1:59" ht="12.75" customHeight="1" x14ac:dyDescent="0.2">
      <c r="AE8" s="476"/>
    </row>
    <row r="9" spans="1:59" ht="12.75" customHeight="1" x14ac:dyDescent="0.2">
      <c r="E9" s="684" t="s">
        <v>708</v>
      </c>
      <c r="F9" s="684"/>
      <c r="G9" s="684" t="s">
        <v>707</v>
      </c>
      <c r="H9" s="684"/>
      <c r="I9" s="87" t="s">
        <v>650</v>
      </c>
      <c r="K9" s="145" t="s">
        <v>652</v>
      </c>
      <c r="L9" s="146"/>
      <c r="M9" s="146"/>
      <c r="N9" s="146"/>
      <c r="O9" s="146"/>
      <c r="P9" s="146"/>
      <c r="Q9" s="146"/>
      <c r="R9" s="147"/>
      <c r="S9" s="684" t="s">
        <v>650</v>
      </c>
      <c r="T9" s="684"/>
      <c r="U9" s="684" t="s">
        <v>652</v>
      </c>
      <c r="V9" s="684"/>
      <c r="W9" s="684"/>
      <c r="X9" s="684"/>
      <c r="Y9" s="684"/>
      <c r="Z9" s="684"/>
    </row>
    <row r="10" spans="1:59" ht="12.75" customHeight="1" x14ac:dyDescent="0.2">
      <c r="A10" s="601" t="s">
        <v>768</v>
      </c>
      <c r="E10" s="681" t="str">
        <f>Import.Apelido</f>
        <v>Pavimentação Rua Padre Pedro Marcelino Copetti</v>
      </c>
      <c r="F10" s="681"/>
      <c r="G10" s="681" t="str" cm="1">
        <f t="array" ref="G10">Import.TransfereGOV</f>
        <v>984561</v>
      </c>
      <c r="H10" s="681"/>
      <c r="I10" s="90" t="str">
        <f>Import.CR</f>
        <v>984561-2025</v>
      </c>
      <c r="K10" s="148" t="str">
        <f>Import.Proponente</f>
        <v>Município de Ivorá</v>
      </c>
      <c r="L10" s="149"/>
      <c r="M10" s="100"/>
      <c r="N10" s="149"/>
      <c r="O10" s="149"/>
      <c r="P10" s="149"/>
      <c r="Q10" s="149"/>
      <c r="R10" s="91"/>
      <c r="S10" s="681" t="str">
        <f>Import.CR</f>
        <v>984561-2025</v>
      </c>
      <c r="T10" s="681"/>
      <c r="U10" s="681" t="str">
        <f>Import.Proponente</f>
        <v>Município de Ivorá</v>
      </c>
      <c r="V10" s="681"/>
      <c r="W10" s="681"/>
      <c r="X10" s="681"/>
      <c r="Y10" s="681"/>
      <c r="Z10" s="681"/>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IF(COUNTIF($J$15:$J$44,"►E")&gt;0,"Não pode haver serviços sem agrupador de eventos",
  IF(COUNTIF($P$11:$AA$11,"▼")&gt;0,"Não pode haver frentes de obra sem quantidades",
  IF(COUNTIF($P$11:$AA$11,"Nome &gt;100")&gt;0,"Nome da frente de obra com mais de 100 caracteres","")))))</f>
        <v/>
      </c>
      <c r="N11" s="573" t="str">
        <f ca="1">IF(OR(COUNTIF($J$15:$J$44,"►E")&gt;0,COUNTIF($J$15:$J$44,"►Q")&gt;0),"",
IF(COUNTIF($J$15:$J$44,"►S")&gt;0,"Preencha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IF(COUNTIF($J$15:$J$44,"►E")&gt;0,"Falta Definir o Agrupador de Evento na linha "&amp;MATCH("►E",$J$15:$J$44,0)+ROW($J$14),
  IF(COUNTIF($J$15:$J$44,"►Q")&gt;0,"Falta preencher a quantidade do serviço na linha "&amp;MATCH("►Q",$J$15:$J$44,0)+ROW($J$14),
  IF(COUNTIF($J$15:$J$44,"►S")&gt;0,"Verifique as quantidades preenchidas na linha "&amp;MATCH("►S",$J$15:$J$44,0)+ROW($J$14),
  IF(AND(COUNTIF($P$11:$AA$11,"▼")=0,COUNTIF($J$15:$J$44,"◄")&gt;0),"Falta Preencher o Memorial de Cálculo na linha "&amp;MATCH("◄",$J$15:$J$44,0)+ROW($J$14),"")))))</f>
        <v/>
      </c>
      <c r="J12" s="151" t="s">
        <v>764</v>
      </c>
      <c r="K12" s="152" t="s">
        <v>770</v>
      </c>
      <c r="L12" s="151" t="s">
        <v>764</v>
      </c>
      <c r="M12" s="570" cm="1">
        <f t="array" aca="1" ref="M12" ca="1">IF(ACOMPANHAMENTO="BM",0,MAX($M$15:$M$44))</f>
        <v>6</v>
      </c>
      <c r="N12" s="574" t="str">
        <f ca="1">IF(AND(ACOMPANHAMENTO="PLE",CÁLCULO.FrentesPreenchidas=0),"Preencher os nomes das Frentes de Obra ►","FRENTES DE OBRA:")</f>
        <v>FRENTES DE OBRA:</v>
      </c>
      <c r="O12" s="153"/>
      <c r="P12" s="151" t="s">
        <v>764</v>
      </c>
      <c r="Q12" s="452" t="s">
        <v>1022</v>
      </c>
      <c r="R12" s="153" t="s">
        <v>1023</v>
      </c>
      <c r="S12" s="153"/>
      <c r="T12" s="520"/>
      <c r="U12" s="153"/>
      <c r="V12" s="153"/>
      <c r="W12" s="153"/>
      <c r="X12" s="153"/>
      <c r="Y12" s="153"/>
      <c r="Z12" s="154"/>
      <c r="AA12" s="151" t="s">
        <v>764</v>
      </c>
      <c r="AB12" s="155" t="str">
        <f ca="1">IF(OFFSET($P$1,0,AB$13)=0,0,OFFSET($P$12,0,AB$13))</f>
        <v>Mês 1</v>
      </c>
      <c r="AC12" s="155" t="str">
        <f t="shared" ref="AC12:AK12" ca="1" si="1">IF(OFFSET($P$1,0,AC$13)=0,0,OFFSET($P$12,0,AC$13))</f>
        <v>Mês 2</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Mês 1</v>
      </c>
      <c r="AN12" s="156" t="str">
        <f t="shared" ca="1" si="2"/>
        <v>Mês 2</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Mês 1</v>
      </c>
      <c r="AY12" s="156" t="str">
        <f t="shared" ca="1" si="2"/>
        <v>Mês 2</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Pavimentação em CBUQ Rua Padre Pedro Marcelino Copetti</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2" t="str">
        <f>Import.DescLote</f>
        <v>Pavimentação Asfáltica Rua Padre Pedro Marcelino Copetti</v>
      </c>
      <c r="F15" s="742"/>
      <c r="G15" s="742"/>
      <c r="H15" s="742"/>
      <c r="I15" s="469"/>
      <c r="J15" s="522"/>
      <c r="K15" s="633"/>
      <c r="L15" s="165">
        <v>0</v>
      </c>
      <c r="M15" s="568">
        <v>0</v>
      </c>
      <c r="N15" s="173" t="s">
        <v>776</v>
      </c>
      <c r="O15" s="174" t="e">
        <f ca="1">OFFSET($AA$15,0,O$13)</f>
        <v>#VALUE!</v>
      </c>
      <c r="Q15" s="175">
        <f t="shared" ref="Q15:Z15" ca="1" si="5">OFFSET($AA$15,0,Q$13)</f>
        <v>264367.69</v>
      </c>
      <c r="R15" s="174">
        <f t="shared" ca="1" si="5"/>
        <v>160121.42000000001</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ROUND(SUM(OFFSET(AB$15,1,0):AB$44),2)</f>
        <v>264367.69</v>
      </c>
      <c r="AC15" s="177">
        <f ca="1">SUM(OFFSET(AC$15,1,0):AC$44)</f>
        <v>160121.42000000001</v>
      </c>
      <c r="AD15" s="177">
        <f ca="1">SUM(OFFSET(AD$15,1,0):AD$44)</f>
        <v>0</v>
      </c>
      <c r="AE15" s="177">
        <f ca="1">SUM(OFFSET(AE$15,1,0):AE$44)</f>
        <v>0</v>
      </c>
      <c r="AF15" s="177">
        <f ca="1">SUM(OFFSET(AF$15,1,0):AF$44)</f>
        <v>0</v>
      </c>
      <c r="AG15" s="177">
        <f ca="1">SUM(OFFSET(AG$15,1,0):AG$44)</f>
        <v>0</v>
      </c>
      <c r="AH15" s="177">
        <f ca="1">SUM(OFFSET(AH$15,1,0):AH$44)</f>
        <v>0</v>
      </c>
      <c r="AI15" s="177">
        <f ca="1">SUM(OFFSET(AI$15,1,0):AI$44)</f>
        <v>0</v>
      </c>
      <c r="AJ15" s="177">
        <f ca="1">SUM(OFFSET(AJ$15,1,0):AJ$44)</f>
        <v>0</v>
      </c>
      <c r="AK15" s="177">
        <f ca="1">SUM(OFFSET(AK$15,1,0):AK$44)</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43"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Pavimentação em CBUQ Rua Padre Pedro Marcelino Copetti</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43"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Serviços Preliminares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12.75" x14ac:dyDescent="0.2">
      <c r="A18" s="7" t="str">
        <f t="shared" ca="1" si="8"/>
        <v>2</v>
      </c>
      <c r="B18" s="7" t="str">
        <f ca="1">OFFSET(ORÇAMENTO!C$15,$L18,0)</f>
        <v>S</v>
      </c>
      <c r="C18" s="7" t="str">
        <f ca="1">OFFSET(ORÇAMENTO!L$15,$L18,0)</f>
        <v>F</v>
      </c>
      <c r="D18" s="116" t="str">
        <f ca="1">OFFSET(ORÇAMENTO!N$15,$L18,0)</f>
        <v>Serviço</v>
      </c>
      <c r="E18" s="117" t="str">
        <f ca="1">OFFSET(ORÇAMENTO!O$15,$L18,0)</f>
        <v>1.1.1.</v>
      </c>
      <c r="F18" s="163" t="str">
        <f ca="1">OFFSET(ORÇAMENTO!R$15,$L18,0)</f>
        <v>(Código não identificado nas referências)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6.48</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◄M</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Preliminares</v>
      </c>
      <c r="O18" s="168"/>
      <c r="Q18" s="168">
        <v>6.48</v>
      </c>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3660.29</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2</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25.5" x14ac:dyDescent="0.2">
      <c r="A19" s="7" t="str">
        <f t="shared" ca="1" si="8"/>
        <v>2</v>
      </c>
      <c r="B19" s="7" t="str">
        <f ca="1">OFFSET(ORÇAMENTO!C$15,$L19,0)</f>
        <v>S</v>
      </c>
      <c r="C19" s="7" t="str">
        <f ca="1">OFFSET(ORÇAMENTO!L$15,$L19,0)</f>
        <v>F</v>
      </c>
      <c r="D19" s="116" t="str">
        <f ca="1">OFFSET(ORÇAMENTO!N$15,$L19,0)</f>
        <v>Serviço</v>
      </c>
      <c r="E19" s="117" t="str">
        <f ca="1">OFFSET(ORÇAMENTO!O$15,$L19,0)</f>
        <v>1.1.2.</v>
      </c>
      <c r="F19" s="163" t="str">
        <f ca="1">OFFSET(ORÇAMENTO!R$15,$L19,0)</f>
        <v>(Código não identificado nas referências)</v>
      </c>
      <c r="G19" s="164" t="str">
        <f ca="1">IF($D19&lt;&gt;"Serviço","",OFFSET(ORÇAMENTO!S$15,$L19,0))</f>
        <v>UN</v>
      </c>
      <c r="H19" s="122" cm="1">
        <f t="array" aca="1" ref="H19" ca="1">IF($D19&lt;&gt;"Serviço",0,IF(ACOMPANHAMENTO="BM",ROUND(OFFSET(ORÇAMENTO!AJ$15,$L19,0),15-13*ORÇAMENTO!$AF$7),IF(IFERROR(CÁLCULO.FrentesPreenchidas,0)=0,0,SUM(ROUND(OFFSET($P19,0,1,1,CÁLCULO.FrentesPreenchidas),15-13*ORÇAMENTO!$AF$7)))))</f>
        <v>2</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◄M</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Preliminares</v>
      </c>
      <c r="O19" s="168"/>
      <c r="Q19" s="168">
        <v>2</v>
      </c>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339.32</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v>
      </c>
      <c r="AN19" s="171">
        <f ca="1">IF(OR($D19&lt;&gt;"Serviço",AND(AUTOEVENTO="Manual",$M19=$A$15)),0,
         IF(OFFSET(CRONOPLE!$F$15,$M19-$A$15,AN$13)=0,10^12,OFFSET(CRONOPLE!$F$15,$M19-$A$15,AN$13)))</f>
        <v>2</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12.75" x14ac:dyDescent="0.2">
      <c r="A20" s="7" t="str">
        <f ca="1">IFERROR(IF(AUTOEVENTO="Manual",IF(K20&lt;&gt;"",MIN(VALUE(LEFT(K20,FIND(".",K20)-1)),COUNTA(EVENTOS.Lista)),0),IF(OR($B20&gt;AUTOEVENTO,$B20="S",$B20=0),SUBSTITUTE(OFFSET($A20,-1,0),IF($D20="Serviço",".",""),""),$L20&amp;".")),0)</f>
        <v>2</v>
      </c>
      <c r="B20" s="7" t="str">
        <f ca="1">OFFSET(ORÇAMENTO!C$15,$L20,0)</f>
        <v>S</v>
      </c>
      <c r="C20" s="7" t="str">
        <f ca="1">OFFSET(ORÇAMENTO!L$15,$L20,0)</f>
        <v>F</v>
      </c>
      <c r="D20" s="116" t="str">
        <f ca="1">OFFSET(ORÇAMENTO!N$15,$L20,0)</f>
        <v>Serviço</v>
      </c>
      <c r="E20" s="117" t="str">
        <f ca="1">OFFSET(ORÇAMENTO!O$15,$L20,0)</f>
        <v>1.1.3.</v>
      </c>
      <c r="F20" s="163" t="str">
        <f ca="1">OFFSET(ORÇAMENTO!R$15,$L20,0)</f>
        <v>(Código não identificado nas referências)</v>
      </c>
      <c r="G20" s="164" t="str">
        <f ca="1">IF($D20&lt;&gt;"Serviço","",OFFSET(ORÇAMENTO!S$15,$L20,0))</f>
        <v>UN</v>
      </c>
      <c r="H20" s="122" cm="1">
        <f t="array" aca="1" ref="H20" ca="1">IF($D20&lt;&gt;"Serviço",0,IF(ACOMPANHAMENTO="BM",ROUND(OFFSET(ORÇAMENTO!AJ$15,$L20,0),15-13*ORÇAMENTO!$AF$7),IF(IFERROR(CÁLCULO.FrentesPreenchidas,0)=0,0,SUM(ROUND(OFFSET($P20,0,1,1,CÁLCULO.FrentesPreenchidas),15-13*ORÇAMENTO!$AF$7)))))</f>
        <v>1</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◄M</v>
      </c>
      <c r="K20" s="652"/>
      <c r="L20" s="165">
        <f ca="1">OFFSET(L20,-1,0)+1</f>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Preliminares</v>
      </c>
      <c r="O20" s="168"/>
      <c r="Q20" s="168">
        <v>0.5</v>
      </c>
      <c r="R20" s="169">
        <v>0.5</v>
      </c>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5445.37</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5445.37</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2</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2.75" x14ac:dyDescent="0.2">
      <c r="A21" s="7" t="str">
        <f t="shared" ca="1" si="8"/>
        <v>6.</v>
      </c>
      <c r="B21" s="7">
        <f ca="1">OFFSET(ORÇAMENTO!C$15,$L21,0)</f>
        <v>2</v>
      </c>
      <c r="C21" s="7" t="str">
        <f ca="1">OFFSET(ORÇAMENTO!L$15,$L21,0)</f>
        <v>F</v>
      </c>
      <c r="D21" s="116" t="str">
        <f ca="1">OFFSET(ORÇAMENTO!N$15,$L21,0)</f>
        <v>Nível 2</v>
      </c>
      <c r="E21" s="117" t="str">
        <f ca="1">OFFSET(ORÇAMENTO!O$15,$L21,0)</f>
        <v>1.2.</v>
      </c>
      <c r="F21" s="163" t="str">
        <f ca="1">OFFSET(ORÇAMENTO!R$15,$L21,0)</f>
        <v>Administração Local</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0</v>
      </c>
      <c r="AN21" s="171">
        <f ca="1">IF(OR($D21&lt;&gt;"Serviço",AND(AUTOEVENTO="Manual",$M21=$A$15)),0,
         IF(OFFSET(CRONOPLE!$F$15,$M21-$A$15,AN$13)=0,10^12,OFFSET(CRONOPLE!$F$15,$M21-$A$15,AN$13)))</f>
        <v>0</v>
      </c>
      <c r="AO21" s="171">
        <f ca="1">IF(OR($D21&lt;&gt;"Serviço",AND(AUTOEVENTO="Manual",$M21=$A$15)),0,
         IF(OFFSET(CRONOPLE!$F$15,$M21-$A$15,AO$13)=0,10^12,OFFSET(CRONOPLE!$F$15,$M21-$A$15,AO$13)))</f>
        <v>0</v>
      </c>
      <c r="AP21" s="171">
        <f ca="1">IF(OR($D21&lt;&gt;"Serviço",AND(AUTOEVENTO="Manual",$M21=$A$15)),0,
         IF(OFFSET(CRONOPLE!$F$15,$M21-$A$15,AP$13)=0,10^12,OFFSET(CRONOPLE!$F$15,$M21-$A$15,AP$13)))</f>
        <v>0</v>
      </c>
      <c r="AQ21" s="171">
        <f ca="1">IF(OR($D21&lt;&gt;"Serviço",AND(AUTOEVENTO="Manual",$M21=$A$15)),0,
         IF(OFFSET(CRONOPLE!$F$15,$M21-$A$15,AQ$13)=0,10^12,OFFSET(CRONOPLE!$F$15,$M21-$A$15,AQ$13)))</f>
        <v>0</v>
      </c>
      <c r="AR21" s="171">
        <f ca="1">IF(OR($D21&lt;&gt;"Serviço",AND(AUTOEVENTO="Manual",$M21=$A$15)),0,
         IF(OFFSET(CRONOPLE!$F$15,$M21-$A$15,AR$13)=0,10^12,OFFSET(CRONOPLE!$F$15,$M21-$A$15,AR$13)))</f>
        <v>0</v>
      </c>
      <c r="AS21" s="171">
        <f ca="1">IF(OR($D21&lt;&gt;"Serviço",AND(AUTOEVENTO="Manual",$M21=$A$15)),0,
         IF(OFFSET(CRONOPLE!$F$15,$M21-$A$15,AS$13)=0,10^12,OFFSET(CRONOPLE!$F$15,$M21-$A$15,AS$13)))</f>
        <v>0</v>
      </c>
      <c r="AT21" s="171">
        <f ca="1">IF(OR($D21&lt;&gt;"Serviço",AND(AUTOEVENTO="Manual",$M21=$A$15)),0,
         IF(OFFSET(CRONOPLE!$F$15,$M21-$A$15,AT$13)=0,10^12,OFFSET(CRONOPLE!$F$15,$M21-$A$15,AT$13)))</f>
        <v>0</v>
      </c>
      <c r="AU21" s="171">
        <f ca="1">IF(OR($D21&lt;&gt;"Serviço",AND(AUTOEVENTO="Manual",$M21=$A$15)),0,
         IF(OFFSET(CRONOPLE!$F$15,$M21-$A$15,AU$13)=0,10^12,OFFSET(CRONOPLE!$F$15,$M21-$A$15,AU$13)))</f>
        <v>0</v>
      </c>
      <c r="AV21" s="171">
        <f ca="1">IF(OR($D21&lt;&gt;"Serviço",AND(AUTOEVENTO="Manual",$M21=$A$15)),0,
         IF(OFFSET(CRONOPLE!$F$15,$M21-$A$15,AV$13)=0,10^12,OFFSET(CRONOPLE!$F$15,$M21-$A$15,AV$13)))</f>
        <v>0</v>
      </c>
      <c r="AX21" s="172" cm="1">
        <f t="array" aca="1" ref="AX21" ca="1">IF(OR($D21&lt;&gt;"Serviço",AND(AUTOEVENTO="Manual",$M21=$A$15),$M21&gt;(ROW(PLE.lastrow)-ROW(PLE.firstrow))),0,
           IF(OFFSET(PLE!$G$15,$M21-$A$15,AX$13)="",10^12,OFFSET(PLE!$G$15,$M21-$A$15,AX$13)))</f>
        <v>0</v>
      </c>
      <c r="AY21" s="172" cm="1">
        <f t="array" aca="1" ref="AY21" ca="1">IF(OR($D21&lt;&gt;"Serviço",AND(AUTOEVENTO="Manual",$M21=$A$15),$M21&gt;(ROW(PLE.lastrow)-ROW(PLE.firstrow))),0,
           IF(OFFSET(PLE!$G$15,$M21-$A$15,AY$13)="",10^12,OFFSET(PLE!$G$15,$M21-$A$15,AY$13)))</f>
        <v>0</v>
      </c>
      <c r="AZ21" s="172" cm="1">
        <f t="array" aca="1" ref="AZ21" ca="1">IF(OR($D21&lt;&gt;"Serviço",AND(AUTOEVENTO="Manual",$M21=$A$15),$M21&gt;(ROW(PLE.lastrow)-ROW(PLE.firstrow))),0,
           IF(OFFSET(PLE!$G$15,$M21-$A$15,AZ$13)="",10^12,OFFSET(PLE!$G$15,$M21-$A$15,AZ$13)))</f>
        <v>0</v>
      </c>
      <c r="BA21" s="172" cm="1">
        <f t="array" aca="1" ref="BA21" ca="1">IF(OR($D21&lt;&gt;"Serviço",AND(AUTOEVENTO="Manual",$M21=$A$15),$M21&gt;(ROW(PLE.lastrow)-ROW(PLE.firstrow))),0,
           IF(OFFSET(PLE!$G$15,$M21-$A$15,BA$13)="",10^12,OFFSET(PLE!$G$15,$M21-$A$15,BA$13)))</f>
        <v>0</v>
      </c>
      <c r="BB21" s="172" cm="1">
        <f t="array" aca="1" ref="BB21" ca="1">IF(OR($D21&lt;&gt;"Serviço",AND(AUTOEVENTO="Manual",$M21=$A$15),$M21&gt;(ROW(PLE.lastrow)-ROW(PLE.firstrow))),0,
           IF(OFFSET(PLE!$G$15,$M21-$A$15,BB$13)="",10^12,OFFSET(PLE!$G$15,$M21-$A$15,BB$13)))</f>
        <v>0</v>
      </c>
      <c r="BC21" s="172" cm="1">
        <f t="array" aca="1" ref="BC21" ca="1">IF(OR($D21&lt;&gt;"Serviço",AND(AUTOEVENTO="Manual",$M21=$A$15),$M21&gt;(ROW(PLE.lastrow)-ROW(PLE.firstrow))),0,
           IF(OFFSET(PLE!$G$15,$M21-$A$15,BC$13)="",10^12,OFFSET(PLE!$G$15,$M21-$A$15,BC$13)))</f>
        <v>0</v>
      </c>
      <c r="BD21" s="172" cm="1">
        <f t="array" aca="1" ref="BD21" ca="1">IF(OR($D21&lt;&gt;"Serviço",AND(AUTOEVENTO="Manual",$M21=$A$15),$M21&gt;(ROW(PLE.lastrow)-ROW(PLE.firstrow))),0,
           IF(OFFSET(PLE!$G$15,$M21-$A$15,BD$13)="",10^12,OFFSET(PLE!$G$15,$M21-$A$15,BD$13)))</f>
        <v>0</v>
      </c>
      <c r="BE21" s="172" cm="1">
        <f t="array" aca="1" ref="BE21" ca="1">IF(OR($D21&lt;&gt;"Serviço",AND(AUTOEVENTO="Manual",$M21=$A$15),$M21&gt;(ROW(PLE.lastrow)-ROW(PLE.firstrow))),0,
           IF(OFFSET(PLE!$G$15,$M21-$A$15,BE$13)="",10^12,OFFSET(PLE!$G$15,$M21-$A$15,BE$13)))</f>
        <v>0</v>
      </c>
      <c r="BF21" s="172" cm="1">
        <f t="array" aca="1" ref="BF21" ca="1">IF(OR($D21&lt;&gt;"Serviço",AND(AUTOEVENTO="Manual",$M21=$A$15),$M21&gt;(ROW(PLE.lastrow)-ROW(PLE.firstrow))),0,
           IF(OFFSET(PLE!$G$15,$M21-$A$15,BF$13)="",10^12,OFFSET(PLE!$G$15,$M21-$A$15,BF$13)))</f>
        <v>0</v>
      </c>
      <c r="BG21" s="172" cm="1">
        <f t="array" aca="1" ref="BG21" ca="1">IF(OR($D21&lt;&gt;"Serviço",AND(AUTOEVENTO="Manual",$M21=$A$15),$M21&gt;(ROW(PLE.lastrow)-ROW(PLE.firstrow))),0,
           IF(OFFSET(PLE!$G$15,$M21-$A$15,BG$13)="",10^12,OFFSET(PLE!$G$15,$M21-$A$15,BG$13)))</f>
        <v>0</v>
      </c>
    </row>
    <row r="22" spans="1:59" ht="12.75" x14ac:dyDescent="0.2">
      <c r="A22" s="7" t="str">
        <f t="shared" ca="1" si="8"/>
        <v>6</v>
      </c>
      <c r="B22" s="7" t="str">
        <f ca="1">OFFSET(ORÇAMENTO!C$15,$L22,0)</f>
        <v>S</v>
      </c>
      <c r="C22" s="7" t="str">
        <f ca="1">OFFSET(ORÇAMENTO!L$15,$L22,0)</f>
        <v>F</v>
      </c>
      <c r="D22" s="116" t="str">
        <f ca="1">OFFSET(ORÇAMENTO!N$15,$L22,0)</f>
        <v>Serviço</v>
      </c>
      <c r="E22" s="117" t="str">
        <f ca="1">OFFSET(ORÇAMENTO!O$15,$L22,0)</f>
        <v>1.2.1.</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60</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◄M</v>
      </c>
      <c r="K22" s="652"/>
      <c r="L22" s="165">
        <f t="shared" ca="1" si="9"/>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Administração Local</v>
      </c>
      <c r="O22" s="168"/>
      <c r="Q22" s="168">
        <v>30</v>
      </c>
      <c r="R22" s="169">
        <v>30</v>
      </c>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1782.3</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1782.3</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2</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12.75" x14ac:dyDescent="0.2">
      <c r="A23" s="7" t="str">
        <f t="shared" ca="1" si="8"/>
        <v>6</v>
      </c>
      <c r="B23" s="7" t="str">
        <f ca="1">OFFSET(ORÇAMENTO!C$15,$L23,0)</f>
        <v>S</v>
      </c>
      <c r="C23" s="7" t="str">
        <f ca="1">OFFSET(ORÇAMENTO!L$15,$L23,0)</f>
        <v>F</v>
      </c>
      <c r="D23" s="116" t="str">
        <f ca="1">OFFSET(ORÇAMENTO!N$15,$L23,0)</f>
        <v>Serviço</v>
      </c>
      <c r="E23" s="117" t="str">
        <f ca="1">OFFSET(ORÇAMENTO!O$15,$L23,0)</f>
        <v>1.2.2.</v>
      </c>
      <c r="F23" s="163" t="str">
        <f ca="1">OFFSET(ORÇAMENTO!R$15,$L23,0)</f>
        <v>(Código não identificado nas referências)</v>
      </c>
      <c r="G23" s="164" t="str">
        <f ca="1">IF($D23&lt;&gt;"Serviço","",OFFSET(ORÇAMENTO!S$15,$L23,0))</f>
        <v>H</v>
      </c>
      <c r="H23" s="122" cm="1">
        <f t="array" aca="1" ref="H23" ca="1">IF($D23&lt;&gt;"Serviço",0,IF(ACOMPANHAMENTO="BM",ROUND(OFFSET(ORÇAMENTO!AJ$15,$L23,0),15-13*ORÇAMENTO!$AF$7),IF(IFERROR(CÁLCULO.FrentesPreenchidas,0)=0,0,SUM(ROUND(OFFSET($P23,0,1,1,CÁLCULO.FrentesPreenchidas),15-13*ORÇAMENTO!$AF$7)))))</f>
        <v>60</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◄M</v>
      </c>
      <c r="K23" s="652"/>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Administração Local</v>
      </c>
      <c r="O23" s="168"/>
      <c r="Q23" s="168">
        <v>30</v>
      </c>
      <c r="R23" s="169">
        <v>30</v>
      </c>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908.1</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908.1</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2</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25.5" x14ac:dyDescent="0.2">
      <c r="A24" s="7" t="str">
        <f t="shared" ca="1" si="8"/>
        <v>6</v>
      </c>
      <c r="B24" s="7" t="str">
        <f ca="1">OFFSET(ORÇAMENTO!C$15,$L24,0)</f>
        <v>S</v>
      </c>
      <c r="C24" s="7" t="str">
        <f ca="1">OFFSET(ORÇAMENTO!L$15,$L24,0)</f>
        <v>F</v>
      </c>
      <c r="D24" s="116" t="str">
        <f ca="1">OFFSET(ORÇAMENTO!N$15,$L24,0)</f>
        <v>Serviço</v>
      </c>
      <c r="E24" s="117" t="str">
        <f ca="1">OFFSET(ORÇAMENTO!O$15,$L24,0)</f>
        <v>1.2.3.</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25</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◄M</v>
      </c>
      <c r="K24" s="652"/>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Administração Local</v>
      </c>
      <c r="O24" s="168"/>
      <c r="Q24" s="168">
        <v>13</v>
      </c>
      <c r="R24" s="169">
        <v>12</v>
      </c>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2244.9699999999998</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2072.2800000000002</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2</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12.75" x14ac:dyDescent="0.2">
      <c r="A25" s="7" t="str">
        <f t="shared" ca="1" si="8"/>
        <v>6</v>
      </c>
      <c r="B25" s="7" t="str">
        <f ca="1">OFFSET(ORÇAMENTO!C$15,$L25,0)</f>
        <v>S</v>
      </c>
      <c r="C25" s="7" t="str">
        <f ca="1">OFFSET(ORÇAMENTO!L$15,$L25,0)</f>
        <v>F</v>
      </c>
      <c r="D25" s="116" t="str">
        <f ca="1">OFFSET(ORÇAMENTO!N$15,$L25,0)</f>
        <v>Serviço</v>
      </c>
      <c r="E25" s="117" t="str">
        <f ca="1">OFFSET(ORÇAMENTO!O$15,$L25,0)</f>
        <v>1.2.4.</v>
      </c>
      <c r="F25" s="163" t="str">
        <f ca="1">OFFSET(ORÇAMENTO!R$15,$L25,0)</f>
        <v>(Código não identificado nas referências)</v>
      </c>
      <c r="G25" s="164" t="str">
        <f ca="1">IF($D25&lt;&gt;"Serviço","",OFFSET(ORÇAMENTO!S$15,$L25,0))</f>
        <v>-</v>
      </c>
      <c r="H25" s="122" cm="1">
        <f t="array" aca="1" ref="H25" ca="1">IF($D25&lt;&gt;"Serviço",0,IF(ACOMPANHAMENTO="BM",ROUND(OFFSET(ORÇAMENTO!AJ$15,$L25,0),15-13*ORÇAMENTO!$AF$7),IF(IFERROR(CÁLCULO.FrentesPreenchidas,0)=0,0,SUM(ROUND(OFFSET($P25,0,1,1,CÁLCULO.FrentesPreenchidas),15-13*ORÇAMENTO!$AF$7)))))</f>
        <v>40</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◄M</v>
      </c>
      <c r="K25" s="652"/>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Administração Local</v>
      </c>
      <c r="O25" s="168"/>
      <c r="Q25" s="168">
        <v>20</v>
      </c>
      <c r="R25" s="169">
        <v>20</v>
      </c>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879.8</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879.8</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2</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12.75" x14ac:dyDescent="0.2">
      <c r="A26" s="7" t="str">
        <f t="shared" ca="1" si="8"/>
        <v>6</v>
      </c>
      <c r="B26" s="7" t="str">
        <f ca="1">OFFSET(ORÇAMENTO!C$15,$L26,0)</f>
        <v>S</v>
      </c>
      <c r="C26" s="7" t="str">
        <f ca="1">OFFSET(ORÇAMENTO!L$15,$L26,0)</f>
        <v>F</v>
      </c>
      <c r="D26" s="116" t="str">
        <f ca="1">OFFSET(ORÇAMENTO!N$15,$L26,0)</f>
        <v>Serviço</v>
      </c>
      <c r="E26" s="117" t="str">
        <f ca="1">OFFSET(ORÇAMENTO!O$15,$L26,0)</f>
        <v>1.2.5.</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40</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◄M</v>
      </c>
      <c r="K26" s="652"/>
      <c r="L26" s="165">
        <f t="shared" ca="1" si="9"/>
        <v>11</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Administração Local</v>
      </c>
      <c r="O26" s="168"/>
      <c r="Q26" s="168">
        <v>20</v>
      </c>
      <c r="R26" s="169">
        <v>20</v>
      </c>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1029.4000000000001</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1029.4000000000001</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v>
      </c>
      <c r="AN26" s="171">
        <f ca="1">IF(OR($D26&lt;&gt;"Serviço",AND(AUTOEVENTO="Manual",$M26=$A$15)),0,
         IF(OFFSET(CRONOPLE!$F$15,$M26-$A$15,AN$13)=0,10^12,OFFSET(CRONOPLE!$F$15,$M26-$A$15,AN$13)))</f>
        <v>2</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12.75" x14ac:dyDescent="0.2">
      <c r="A27" s="7" t="str">
        <f t="shared" ca="1" si="8"/>
        <v>12.</v>
      </c>
      <c r="B27" s="7">
        <f ca="1">OFFSET(ORÇAMENTO!C$15,$L27,0)</f>
        <v>2</v>
      </c>
      <c r="C27" s="7" t="str">
        <f ca="1">OFFSET(ORÇAMENTO!L$15,$L27,0)</f>
        <v>F</v>
      </c>
      <c r="D27" s="116" t="str">
        <f ca="1">OFFSET(ORÇAMENTO!N$15,$L27,0)</f>
        <v>Nível 2</v>
      </c>
      <c r="E27" s="117" t="str">
        <f ca="1">OFFSET(ORÇAMENTO!O$15,$L27,0)</f>
        <v>1.3.</v>
      </c>
      <c r="F27" s="163" t="str">
        <f ca="1">OFFSET(ORÇAMENTO!R$15,$L27,0)</f>
        <v>Terraplenagem</v>
      </c>
      <c r="G27" s="164" t="str">
        <f ca="1">IF($D27&lt;&gt;"Serviço","",OFFSET(ORÇAMENTO!S$15,$L27,0))</f>
        <v/>
      </c>
      <c r="H27" s="122" cm="1">
        <f t="array" aca="1" ref="H27" ca="1">IF($D27&lt;&gt;"Serviço",0,IF(ACOMPANHAMENTO="BM",ROUND(OFFSET(ORÇAMENTO!AJ$15,$L27,0),15-13*ORÇAMENTO!$AF$7),IF(IFERROR(CÁLCULO.FrentesPreenchidas,0)=0,0,SUM(ROUND(OFFSET($P27,0,1,1,CÁLCULO.FrentesPreenchidas),15-13*ORÇAMENTO!$AF$7)))))</f>
        <v>0</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t="str">
        <f ca="1">IF($D27&lt;&gt;"Serviço","",
          IF(AUTOEVENTO="manual",$A27,
                IF(ISERROR(MATCH($A27,$A$15:OFFSET($A27,-1,0),0)),MAX($M$15:OFFSET(M27,-1,0))+1,
                      INDEX($M$15:OFFSET(M27,-1,0),MATCH($A27,$A$15:OFFSET($A27,-1,0),0)))))</f>
        <v/>
      </c>
      <c r="N27" s="167" t="str">
        <f ca="1">IF($D27&lt;&gt;"Serviço","",
         IF(AUTOEVENTO="Manual",
                IF($A27=0,"&lt;-- defina o número do agrupador",
                       OFFSET(EVENTOS!$D$15,$A27-$A$15,0)),
                OFFSET($F$15,$A27,0)))</f>
        <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0</v>
      </c>
      <c r="AN27" s="171">
        <f ca="1">IF(OR($D27&lt;&gt;"Serviço",AND(AUTOEVENTO="Manual",$M27=$A$15)),0,
         IF(OFFSET(CRONOPLE!$F$15,$M27-$A$15,AN$13)=0,10^12,OFFSET(CRONOPLE!$F$15,$M27-$A$15,AN$13)))</f>
        <v>0</v>
      </c>
      <c r="AO27" s="171">
        <f ca="1">IF(OR($D27&lt;&gt;"Serviço",AND(AUTOEVENTO="Manual",$M27=$A$15)),0,
         IF(OFFSET(CRONOPLE!$F$15,$M27-$A$15,AO$13)=0,10^12,OFFSET(CRONOPLE!$F$15,$M27-$A$15,AO$13)))</f>
        <v>0</v>
      </c>
      <c r="AP27" s="171">
        <f ca="1">IF(OR($D27&lt;&gt;"Serviço",AND(AUTOEVENTO="Manual",$M27=$A$15)),0,
         IF(OFFSET(CRONOPLE!$F$15,$M27-$A$15,AP$13)=0,10^12,OFFSET(CRONOPLE!$F$15,$M27-$A$15,AP$13)))</f>
        <v>0</v>
      </c>
      <c r="AQ27" s="171">
        <f ca="1">IF(OR($D27&lt;&gt;"Serviço",AND(AUTOEVENTO="Manual",$M27=$A$15)),0,
         IF(OFFSET(CRONOPLE!$F$15,$M27-$A$15,AQ$13)=0,10^12,OFFSET(CRONOPLE!$F$15,$M27-$A$15,AQ$13)))</f>
        <v>0</v>
      </c>
      <c r="AR27" s="171">
        <f ca="1">IF(OR($D27&lt;&gt;"Serviço",AND(AUTOEVENTO="Manual",$M27=$A$15)),0,
         IF(OFFSET(CRONOPLE!$F$15,$M27-$A$15,AR$13)=0,10^12,OFFSET(CRONOPLE!$F$15,$M27-$A$15,AR$13)))</f>
        <v>0</v>
      </c>
      <c r="AS27" s="171">
        <f ca="1">IF(OR($D27&lt;&gt;"Serviço",AND(AUTOEVENTO="Manual",$M27=$A$15)),0,
         IF(OFFSET(CRONOPLE!$F$15,$M27-$A$15,AS$13)=0,10^12,OFFSET(CRONOPLE!$F$15,$M27-$A$15,AS$13)))</f>
        <v>0</v>
      </c>
      <c r="AT27" s="171">
        <f ca="1">IF(OR($D27&lt;&gt;"Serviço",AND(AUTOEVENTO="Manual",$M27=$A$15)),0,
         IF(OFFSET(CRONOPLE!$F$15,$M27-$A$15,AT$13)=0,10^12,OFFSET(CRONOPLE!$F$15,$M27-$A$15,AT$13)))</f>
        <v>0</v>
      </c>
      <c r="AU27" s="171">
        <f ca="1">IF(OR($D27&lt;&gt;"Serviço",AND(AUTOEVENTO="Manual",$M27=$A$15)),0,
         IF(OFFSET(CRONOPLE!$F$15,$M27-$A$15,AU$13)=0,10^12,OFFSET(CRONOPLE!$F$15,$M27-$A$15,AU$13)))</f>
        <v>0</v>
      </c>
      <c r="AV27" s="171">
        <f ca="1">IF(OR($D27&lt;&gt;"Serviço",AND(AUTOEVENTO="Manual",$M27=$A$15)),0,
         IF(OFFSET(CRONOPLE!$F$15,$M27-$A$15,AV$13)=0,10^12,OFFSET(CRONOPLE!$F$15,$M27-$A$15,AV$13)))</f>
        <v>0</v>
      </c>
      <c r="AX27" s="172" cm="1">
        <f t="array" aca="1" ref="AX27" ca="1">IF(OR($D27&lt;&gt;"Serviço",AND(AUTOEVENTO="Manual",$M27=$A$15),$M27&gt;(ROW(PLE.lastrow)-ROW(PLE.firstrow))),0,
           IF(OFFSET(PLE!$G$15,$M27-$A$15,AX$13)="",10^12,OFFSET(PLE!$G$15,$M27-$A$15,AX$13)))</f>
        <v>0</v>
      </c>
      <c r="AY27" s="172" cm="1">
        <f t="array" aca="1" ref="AY27" ca="1">IF(OR($D27&lt;&gt;"Serviço",AND(AUTOEVENTO="Manual",$M27=$A$15),$M27&gt;(ROW(PLE.lastrow)-ROW(PLE.firstrow))),0,
           IF(OFFSET(PLE!$G$15,$M27-$A$15,AY$13)="",10^12,OFFSET(PLE!$G$15,$M27-$A$15,AY$13)))</f>
        <v>0</v>
      </c>
      <c r="AZ27" s="172" cm="1">
        <f t="array" aca="1" ref="AZ27" ca="1">IF(OR($D27&lt;&gt;"Serviço",AND(AUTOEVENTO="Manual",$M27=$A$15),$M27&gt;(ROW(PLE.lastrow)-ROW(PLE.firstrow))),0,
           IF(OFFSET(PLE!$G$15,$M27-$A$15,AZ$13)="",10^12,OFFSET(PLE!$G$15,$M27-$A$15,AZ$13)))</f>
        <v>0</v>
      </c>
      <c r="BA27" s="172" cm="1">
        <f t="array" aca="1" ref="BA27" ca="1">IF(OR($D27&lt;&gt;"Serviço",AND(AUTOEVENTO="Manual",$M27=$A$15),$M27&gt;(ROW(PLE.lastrow)-ROW(PLE.firstrow))),0,
           IF(OFFSET(PLE!$G$15,$M27-$A$15,BA$13)="",10^12,OFFSET(PLE!$G$15,$M27-$A$15,BA$13)))</f>
        <v>0</v>
      </c>
      <c r="BB27" s="172" cm="1">
        <f t="array" aca="1" ref="BB27" ca="1">IF(OR($D27&lt;&gt;"Serviço",AND(AUTOEVENTO="Manual",$M27=$A$15),$M27&gt;(ROW(PLE.lastrow)-ROW(PLE.firstrow))),0,
           IF(OFFSET(PLE!$G$15,$M27-$A$15,BB$13)="",10^12,OFFSET(PLE!$G$15,$M27-$A$15,BB$13)))</f>
        <v>0</v>
      </c>
      <c r="BC27" s="172" cm="1">
        <f t="array" aca="1" ref="BC27" ca="1">IF(OR($D27&lt;&gt;"Serviço",AND(AUTOEVENTO="Manual",$M27=$A$15),$M27&gt;(ROW(PLE.lastrow)-ROW(PLE.firstrow))),0,
           IF(OFFSET(PLE!$G$15,$M27-$A$15,BC$13)="",10^12,OFFSET(PLE!$G$15,$M27-$A$15,BC$13)))</f>
        <v>0</v>
      </c>
      <c r="BD27" s="172" cm="1">
        <f t="array" aca="1" ref="BD27" ca="1">IF(OR($D27&lt;&gt;"Serviço",AND(AUTOEVENTO="Manual",$M27=$A$15),$M27&gt;(ROW(PLE.lastrow)-ROW(PLE.firstrow))),0,
           IF(OFFSET(PLE!$G$15,$M27-$A$15,BD$13)="",10^12,OFFSET(PLE!$G$15,$M27-$A$15,BD$13)))</f>
        <v>0</v>
      </c>
      <c r="BE27" s="172" cm="1">
        <f t="array" aca="1" ref="BE27" ca="1">IF(OR($D27&lt;&gt;"Serviço",AND(AUTOEVENTO="Manual",$M27=$A$15),$M27&gt;(ROW(PLE.lastrow)-ROW(PLE.firstrow))),0,
           IF(OFFSET(PLE!$G$15,$M27-$A$15,BE$13)="",10^12,OFFSET(PLE!$G$15,$M27-$A$15,BE$13)))</f>
        <v>0</v>
      </c>
      <c r="BF27" s="172" cm="1">
        <f t="array" aca="1" ref="BF27" ca="1">IF(OR($D27&lt;&gt;"Serviço",AND(AUTOEVENTO="Manual",$M27=$A$15),$M27&gt;(ROW(PLE.lastrow)-ROW(PLE.firstrow))),0,
           IF(OFFSET(PLE!$G$15,$M27-$A$15,BF$13)="",10^12,OFFSET(PLE!$G$15,$M27-$A$15,BF$13)))</f>
        <v>0</v>
      </c>
      <c r="BG27" s="172" cm="1">
        <f t="array" aca="1" ref="BG27" ca="1">IF(OR($D27&lt;&gt;"Serviço",AND(AUTOEVENTO="Manual",$M27=$A$15),$M27&gt;(ROW(PLE.lastrow)-ROW(PLE.firstrow))),0,
           IF(OFFSET(PLE!$G$15,$M27-$A$15,BG$13)="",10^12,OFFSET(PLE!$G$15,$M27-$A$15,BG$13)))</f>
        <v>0</v>
      </c>
    </row>
    <row r="28" spans="1:59" ht="38.25" x14ac:dyDescent="0.2">
      <c r="A28" s="7" t="str">
        <f ca="1">IFERROR(IF(AUTOEVENTO="Manual",IF(K28&lt;&gt;"",MIN(VALUE(LEFT(K28,FIND(".",K28)-1)),COUNTA(EVENTOS.Lista)),0),IF(OR($B28&gt;AUTOEVENTO,$B28="S",$B28=0),SUBSTITUTE(OFFSET($A28,-1,0),IF($D28="Serviço",".",""),""),$L28&amp;".")),0)</f>
        <v>12</v>
      </c>
      <c r="B28" s="7" t="str">
        <f ca="1">OFFSET(ORÇAMENTO!C$15,$L28,0)</f>
        <v>S</v>
      </c>
      <c r="C28" s="7" t="str">
        <f ca="1">OFFSET(ORÇAMENTO!L$15,$L28,0)</f>
        <v>F</v>
      </c>
      <c r="D28" s="116" t="str">
        <f ca="1">OFFSET(ORÇAMENTO!N$15,$L28,0)</f>
        <v>Serviço</v>
      </c>
      <c r="E28" s="117" t="str">
        <f ca="1">OFFSET(ORÇAMENTO!O$15,$L28,0)</f>
        <v>1.3.1.</v>
      </c>
      <c r="F28" s="163" t="str">
        <f ca="1">OFFSET(ORÇAMENTO!R$15,$L28,0)</f>
        <v>(Código não identificado nas referências)</v>
      </c>
      <c r="G28" s="164" t="str">
        <f ca="1">IF($D28&lt;&gt;"Serviço","",OFFSET(ORÇAMENTO!S$15,$L28,0))</f>
        <v>M3</v>
      </c>
      <c r="H28" s="122" cm="1">
        <f t="array" aca="1" ref="H28" ca="1">IF($D28&lt;&gt;"Serviço",0,IF(ACOMPANHAMENTO="BM",ROUND(OFFSET(ORÇAMENTO!AJ$15,$L28,0),15-13*ORÇAMENTO!$AF$7),IF(IFERROR(CÁLCULO.FrentesPreenchidas,0)=0,0,SUM(ROUND(OFFSET($P28,0,1,1,CÁLCULO.FrentesPreenchidas),15-13*ORÇAMENTO!$AF$7)))))</f>
        <v>657.64</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◄M</v>
      </c>
      <c r="K28" s="652"/>
      <c r="L28" s="165">
        <f ca="1">OFFSET(L28,-1,0)+1</f>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Terraplenagem</v>
      </c>
      <c r="O28" s="168"/>
      <c r="Q28" s="168">
        <v>657.64</v>
      </c>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4761.3100000000004</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12.75" x14ac:dyDescent="0.2">
      <c r="A29" s="7" t="str">
        <f t="shared" ca="1" si="8"/>
        <v>12</v>
      </c>
      <c r="B29" s="7" t="str">
        <f ca="1">OFFSET(ORÇAMENTO!C$15,$L29,0)</f>
        <v>S</v>
      </c>
      <c r="C29" s="7" t="str">
        <f ca="1">OFFSET(ORÇAMENTO!L$15,$L29,0)</f>
        <v>F</v>
      </c>
      <c r="D29" s="116" t="str">
        <f ca="1">OFFSET(ORÇAMENTO!N$15,$L29,0)</f>
        <v>Serviço</v>
      </c>
      <c r="E29" s="117" t="str">
        <f ca="1">OFFSET(ORÇAMENTO!O$15,$L29,0)</f>
        <v>1.3.2.</v>
      </c>
      <c r="F29" s="163" t="str">
        <f ca="1">OFFSET(ORÇAMENTO!R$15,$L29,0)</f>
        <v>(Código não identificado nas referências)</v>
      </c>
      <c r="G29" s="164" t="str">
        <f ca="1">IF($D29&lt;&gt;"Serviço","",OFFSET(ORÇAMENTO!S$15,$L29,0))</f>
        <v>M2</v>
      </c>
      <c r="H29" s="122" cm="1">
        <f t="array" aca="1" ref="H29" ca="1">IF($D29&lt;&gt;"Serviço",0,IF(ACOMPANHAMENTO="BM",ROUND(OFFSET(ORÇAMENTO!AJ$15,$L29,0),15-13*ORÇAMENTO!$AF$7),IF(IFERROR(CÁLCULO.FrentesPreenchidas,0)=0,0,SUM(ROUND(OFFSET($P29,0,1,1,CÁLCULO.FrentesPreenchidas),15-13*ORÇAMENTO!$AF$7)))))</f>
        <v>1604</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◄M</v>
      </c>
      <c r="K29" s="652"/>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Terraplenagem</v>
      </c>
      <c r="O29" s="168"/>
      <c r="Q29" s="168">
        <v>1604</v>
      </c>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3689.2</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12.75" x14ac:dyDescent="0.2">
      <c r="A30" s="7" t="str">
        <f t="shared" ca="1" si="8"/>
        <v>15.</v>
      </c>
      <c r="B30" s="7">
        <f ca="1">OFFSET(ORÇAMENTO!C$15,$L30,0)</f>
        <v>2</v>
      </c>
      <c r="C30" s="7" t="str">
        <f ca="1">OFFSET(ORÇAMENTO!L$15,$L30,0)</f>
        <v>F</v>
      </c>
      <c r="D30" s="116" t="str">
        <f ca="1">OFFSET(ORÇAMENTO!N$15,$L30,0)</f>
        <v>Nível 2</v>
      </c>
      <c r="E30" s="117" t="str">
        <f ca="1">OFFSET(ORÇAMENTO!O$15,$L30,0)</f>
        <v>1.4.</v>
      </c>
      <c r="F30" s="163" t="str">
        <f ca="1">OFFSET(ORÇAMENTO!R$15,$L30,0)</f>
        <v xml:space="preserve">Pavimentação </v>
      </c>
      <c r="G30" s="164" t="str">
        <f ca="1">IF($D30&lt;&gt;"Serviço","",OFFSET(ORÇAMENTO!S$15,$L30,0))</f>
        <v/>
      </c>
      <c r="H30" s="122" cm="1">
        <f t="array" aca="1" ref="H30" ca="1">IF($D30&lt;&gt;"Serviço",0,IF(ACOMPANHAMENTO="BM",ROUND(OFFSET(ORÇAMENTO!AJ$15,$L30,0),15-13*ORÇAMENTO!$AF$7),IF(IFERROR(CÁLCULO.FrentesPreenchidas,0)=0,0,SUM(ROUND(OFFSET($P30,0,1,1,CÁLCULO.FrentesPreenchidas),15-13*ORÇAMENTO!$AF$7)))))</f>
        <v>0</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9"/>
        <v>15</v>
      </c>
      <c r="M30" s="166" t="str">
        <f ca="1">IF($D30&lt;&gt;"Serviço","",
          IF(AUTOEVENTO="manual",$A30,
                IF(ISERROR(MATCH($A30,$A$15:OFFSET($A30,-1,0),0)),MAX($M$15:OFFSET(M30,-1,0))+1,
                      INDEX($M$15:OFFSET(M30,-1,0),MATCH($A30,$A$15:OFFSET($A30,-1,0),0)))))</f>
        <v/>
      </c>
      <c r="N30" s="167" t="str">
        <f ca="1">IF($D30&lt;&gt;"Serviço","",
         IF(AUTOEVENTO="Manual",
                IF($A30=0,"&lt;-- defina o número do agrupador",
                       OFFSET(EVENTOS!$D$15,$A30-$A$15,0)),
                OFFSET($F$15,$A30,0)))</f>
        <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0</v>
      </c>
      <c r="AN30" s="171">
        <f ca="1">IF(OR($D30&lt;&gt;"Serviço",AND(AUTOEVENTO="Manual",$M30=$A$15)),0,
         IF(OFFSET(CRONOPLE!$F$15,$M30-$A$15,AN$13)=0,10^12,OFFSET(CRONOPLE!$F$15,$M30-$A$15,AN$13)))</f>
        <v>0</v>
      </c>
      <c r="AO30" s="171">
        <f ca="1">IF(OR($D30&lt;&gt;"Serviço",AND(AUTOEVENTO="Manual",$M30=$A$15)),0,
         IF(OFFSET(CRONOPLE!$F$15,$M30-$A$15,AO$13)=0,10^12,OFFSET(CRONOPLE!$F$15,$M30-$A$15,AO$13)))</f>
        <v>0</v>
      </c>
      <c r="AP30" s="171">
        <f ca="1">IF(OR($D30&lt;&gt;"Serviço",AND(AUTOEVENTO="Manual",$M30=$A$15)),0,
         IF(OFFSET(CRONOPLE!$F$15,$M30-$A$15,AP$13)=0,10^12,OFFSET(CRONOPLE!$F$15,$M30-$A$15,AP$13)))</f>
        <v>0</v>
      </c>
      <c r="AQ30" s="171">
        <f ca="1">IF(OR($D30&lt;&gt;"Serviço",AND(AUTOEVENTO="Manual",$M30=$A$15)),0,
         IF(OFFSET(CRONOPLE!$F$15,$M30-$A$15,AQ$13)=0,10^12,OFFSET(CRONOPLE!$F$15,$M30-$A$15,AQ$13)))</f>
        <v>0</v>
      </c>
      <c r="AR30" s="171">
        <f ca="1">IF(OR($D30&lt;&gt;"Serviço",AND(AUTOEVENTO="Manual",$M30=$A$15)),0,
         IF(OFFSET(CRONOPLE!$F$15,$M30-$A$15,AR$13)=0,10^12,OFFSET(CRONOPLE!$F$15,$M30-$A$15,AR$13)))</f>
        <v>0</v>
      </c>
      <c r="AS30" s="171">
        <f ca="1">IF(OR($D30&lt;&gt;"Serviço",AND(AUTOEVENTO="Manual",$M30=$A$15)),0,
         IF(OFFSET(CRONOPLE!$F$15,$M30-$A$15,AS$13)=0,10^12,OFFSET(CRONOPLE!$F$15,$M30-$A$15,AS$13)))</f>
        <v>0</v>
      </c>
      <c r="AT30" s="171">
        <f ca="1">IF(OR($D30&lt;&gt;"Serviço",AND(AUTOEVENTO="Manual",$M30=$A$15)),0,
         IF(OFFSET(CRONOPLE!$F$15,$M30-$A$15,AT$13)=0,10^12,OFFSET(CRONOPLE!$F$15,$M30-$A$15,AT$13)))</f>
        <v>0</v>
      </c>
      <c r="AU30" s="171">
        <f ca="1">IF(OR($D30&lt;&gt;"Serviço",AND(AUTOEVENTO="Manual",$M30=$A$15)),0,
         IF(OFFSET(CRONOPLE!$F$15,$M30-$A$15,AU$13)=0,10^12,OFFSET(CRONOPLE!$F$15,$M30-$A$15,AU$13)))</f>
        <v>0</v>
      </c>
      <c r="AV30" s="171">
        <f ca="1">IF(OR($D30&lt;&gt;"Serviço",AND(AUTOEVENTO="Manual",$M30=$A$15)),0,
         IF(OFFSET(CRONOPLE!$F$15,$M30-$A$15,AV$13)=0,10^12,OFFSET(CRONOPLE!$F$15,$M30-$A$15,AV$13)))</f>
        <v>0</v>
      </c>
      <c r="AX30" s="172" cm="1">
        <f t="array" aca="1" ref="AX30" ca="1">IF(OR($D30&lt;&gt;"Serviço",AND(AUTOEVENTO="Manual",$M30=$A$15),$M30&gt;(ROW(PLE.lastrow)-ROW(PLE.firstrow))),0,
           IF(OFFSET(PLE!$G$15,$M30-$A$15,AX$13)="",10^12,OFFSET(PLE!$G$15,$M30-$A$15,AX$13)))</f>
        <v>0</v>
      </c>
      <c r="AY30" s="172" cm="1">
        <f t="array" aca="1" ref="AY30" ca="1">IF(OR($D30&lt;&gt;"Serviço",AND(AUTOEVENTO="Manual",$M30=$A$15),$M30&gt;(ROW(PLE.lastrow)-ROW(PLE.firstrow))),0,
           IF(OFFSET(PLE!$G$15,$M30-$A$15,AY$13)="",10^12,OFFSET(PLE!$G$15,$M30-$A$15,AY$13)))</f>
        <v>0</v>
      </c>
      <c r="AZ30" s="172" cm="1">
        <f t="array" aca="1" ref="AZ30" ca="1">IF(OR($D30&lt;&gt;"Serviço",AND(AUTOEVENTO="Manual",$M30=$A$15),$M30&gt;(ROW(PLE.lastrow)-ROW(PLE.firstrow))),0,
           IF(OFFSET(PLE!$G$15,$M30-$A$15,AZ$13)="",10^12,OFFSET(PLE!$G$15,$M30-$A$15,AZ$13)))</f>
        <v>0</v>
      </c>
      <c r="BA30" s="172" cm="1">
        <f t="array" aca="1" ref="BA30" ca="1">IF(OR($D30&lt;&gt;"Serviço",AND(AUTOEVENTO="Manual",$M30=$A$15),$M30&gt;(ROW(PLE.lastrow)-ROW(PLE.firstrow))),0,
           IF(OFFSET(PLE!$G$15,$M30-$A$15,BA$13)="",10^12,OFFSET(PLE!$G$15,$M30-$A$15,BA$13)))</f>
        <v>0</v>
      </c>
      <c r="BB30" s="172" cm="1">
        <f t="array" aca="1" ref="BB30" ca="1">IF(OR($D30&lt;&gt;"Serviço",AND(AUTOEVENTO="Manual",$M30=$A$15),$M30&gt;(ROW(PLE.lastrow)-ROW(PLE.firstrow))),0,
           IF(OFFSET(PLE!$G$15,$M30-$A$15,BB$13)="",10^12,OFFSET(PLE!$G$15,$M30-$A$15,BB$13)))</f>
        <v>0</v>
      </c>
      <c r="BC30" s="172" cm="1">
        <f t="array" aca="1" ref="BC30" ca="1">IF(OR($D30&lt;&gt;"Serviço",AND(AUTOEVENTO="Manual",$M30=$A$15),$M30&gt;(ROW(PLE.lastrow)-ROW(PLE.firstrow))),0,
           IF(OFFSET(PLE!$G$15,$M30-$A$15,BC$13)="",10^12,OFFSET(PLE!$G$15,$M30-$A$15,BC$13)))</f>
        <v>0</v>
      </c>
      <c r="BD30" s="172" cm="1">
        <f t="array" aca="1" ref="BD30" ca="1">IF(OR($D30&lt;&gt;"Serviço",AND(AUTOEVENTO="Manual",$M30=$A$15),$M30&gt;(ROW(PLE.lastrow)-ROW(PLE.firstrow))),0,
           IF(OFFSET(PLE!$G$15,$M30-$A$15,BD$13)="",10^12,OFFSET(PLE!$G$15,$M30-$A$15,BD$13)))</f>
        <v>0</v>
      </c>
      <c r="BE30" s="172" cm="1">
        <f t="array" aca="1" ref="BE30" ca="1">IF(OR($D30&lt;&gt;"Serviço",AND(AUTOEVENTO="Manual",$M30=$A$15),$M30&gt;(ROW(PLE.lastrow)-ROW(PLE.firstrow))),0,
           IF(OFFSET(PLE!$G$15,$M30-$A$15,BE$13)="",10^12,OFFSET(PLE!$G$15,$M30-$A$15,BE$13)))</f>
        <v>0</v>
      </c>
      <c r="BF30" s="172" cm="1">
        <f t="array" aca="1" ref="BF30" ca="1">IF(OR($D30&lt;&gt;"Serviço",AND(AUTOEVENTO="Manual",$M30=$A$15),$M30&gt;(ROW(PLE.lastrow)-ROW(PLE.firstrow))),0,
           IF(OFFSET(PLE!$G$15,$M30-$A$15,BF$13)="",10^12,OFFSET(PLE!$G$15,$M30-$A$15,BF$13)))</f>
        <v>0</v>
      </c>
      <c r="BG30" s="172" cm="1">
        <f t="array" aca="1" ref="BG30" ca="1">IF(OR($D30&lt;&gt;"Serviço",AND(AUTOEVENTO="Manual",$M30=$A$15),$M30&gt;(ROW(PLE.lastrow)-ROW(PLE.firstrow))),0,
           IF(OFFSET(PLE!$G$15,$M30-$A$15,BG$13)="",10^12,OFFSET(PLE!$G$15,$M30-$A$15,BG$13)))</f>
        <v>0</v>
      </c>
    </row>
    <row r="31" spans="1:59" ht="25.5" x14ac:dyDescent="0.2">
      <c r="A31" s="7" t="str">
        <f t="shared" ca="1" si="8"/>
        <v>15</v>
      </c>
      <c r="B31" s="7" t="str">
        <f ca="1">OFFSET(ORÇAMENTO!C$15,$L31,0)</f>
        <v>S</v>
      </c>
      <c r="C31" s="7" t="str">
        <f ca="1">OFFSET(ORÇAMENTO!L$15,$L31,0)</f>
        <v>F</v>
      </c>
      <c r="D31" s="116" t="str">
        <f ca="1">OFFSET(ORÇAMENTO!N$15,$L31,0)</f>
        <v>Serviço</v>
      </c>
      <c r="E31" s="117" t="str">
        <f ca="1">OFFSET(ORÇAMENTO!O$15,$L31,0)</f>
        <v>1.4.1.</v>
      </c>
      <c r="F31" s="163" t="str">
        <f ca="1">OFFSET(ORÇAMENTO!R$15,$L31,0)</f>
        <v>(Código não identificado nas referências)</v>
      </c>
      <c r="G31" s="164" t="str">
        <f ca="1">IF($D31&lt;&gt;"Serviço","",OFFSET(ORÇAMENTO!S$15,$L31,0))</f>
        <v>M3</v>
      </c>
      <c r="H31" s="122" cm="1">
        <f t="array" aca="1" ref="H31" ca="1">IF($D31&lt;&gt;"Serviço",0,IF(ACOMPANHAMENTO="BM",ROUND(OFFSET(ORÇAMENTO!AJ$15,$L31,0),15-13*ORÇAMENTO!$AF$7),IF(IFERROR(CÁLCULO.FrentesPreenchidas,0)=0,0,SUM(ROUND(OFFSET($P31,0,1,1,CÁLCULO.FrentesPreenchidas),15-13*ORÇAMENTO!$AF$7)))))</f>
        <v>463.2</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◄M</v>
      </c>
      <c r="K31" s="652"/>
      <c r="L31" s="165">
        <f t="shared" ca="1" si="9"/>
        <v>16</v>
      </c>
      <c r="M31" s="166">
        <f ca="1">IF($D31&lt;&gt;"Serviço","",
          IF(AUTOEVENTO="manual",$A31,
                IF(ISERROR(MATCH($A31,$A$15:OFFSET($A31,-1,0),0)),MAX($M$15:OFFSET(M31,-1,0))+1,
                      INDEX($M$15:OFFSET(M31,-1,0),MATCH($A31,$A$15:OFFSET($A31,-1,0),0)))))</f>
        <v>4</v>
      </c>
      <c r="N31" s="167" t="str">
        <f ca="1">IF($D31&lt;&gt;"Serviço","",
         IF(AUTOEVENTO="Manual",
                IF($A31=0,"&lt;-- defina o número do agrupador",
                       OFFSET(EVENTOS!$D$15,$A31-$A$15,0)),
                OFFSET($F$15,$A31,0)))</f>
        <v xml:space="preserve">Pavimentação </v>
      </c>
      <c r="O31" s="168"/>
      <c r="Q31" s="168">
        <v>463.2</v>
      </c>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114808.75</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v>
      </c>
      <c r="AN31" s="171">
        <f ca="1">IF(OR($D31&lt;&gt;"Serviço",AND(AUTOEVENTO="Manual",$M31=$A$15)),0,
         IF(OFFSET(CRONOPLE!$F$15,$M31-$A$15,AN$13)=0,10^12,OFFSET(CRONOPLE!$F$15,$M31-$A$15,AN$13)))</f>
        <v>2</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25.5" x14ac:dyDescent="0.2">
      <c r="A32" s="7" t="str">
        <f t="shared" ca="1" si="8"/>
        <v>15</v>
      </c>
      <c r="B32" s="7" t="str">
        <f ca="1">OFFSET(ORÇAMENTO!C$15,$L32,0)</f>
        <v>S</v>
      </c>
      <c r="C32" s="7" t="str">
        <f ca="1">OFFSET(ORÇAMENTO!L$15,$L32,0)</f>
        <v>F</v>
      </c>
      <c r="D32" s="116" t="str">
        <f ca="1">OFFSET(ORÇAMENTO!N$15,$L32,0)</f>
        <v>Serviço</v>
      </c>
      <c r="E32" s="117" t="str">
        <f ca="1">OFFSET(ORÇAMENTO!O$15,$L32,0)</f>
        <v>1.4.2.</v>
      </c>
      <c r="F32" s="163" t="str">
        <f ca="1">OFFSET(ORÇAMENTO!R$15,$L32,0)</f>
        <v>(Código não identificado nas referências)</v>
      </c>
      <c r="G32" s="164" t="str">
        <f ca="1">IF($D32&lt;&gt;"Serviço","",OFFSET(ORÇAMENTO!S$15,$L32,0))</f>
        <v>M3</v>
      </c>
      <c r="H32" s="122" cm="1">
        <f t="array" aca="1" ref="H32" ca="1">IF($D32&lt;&gt;"Serviço",0,IF(ACOMPANHAMENTO="BM",ROUND(OFFSET(ORÇAMENTO!AJ$15,$L32,0),15-13*ORÇAMENTO!$AF$7),IF(IFERROR(CÁLCULO.FrentesPreenchidas,0)=0,0,SUM(ROUND(OFFSET($P32,0,1,1,CÁLCULO.FrentesPreenchidas),15-13*ORÇAMENTO!$AF$7)))))</f>
        <v>218.1</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◄M</v>
      </c>
      <c r="K32" s="652"/>
      <c r="L32" s="165">
        <f t="shared" ca="1" si="9"/>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 xml:space="preserve">Pavimentação </v>
      </c>
      <c r="O32" s="168"/>
      <c r="Q32" s="168">
        <v>218.1</v>
      </c>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65039.6</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v>
      </c>
      <c r="AN32" s="171">
        <f ca="1">IF(OR($D32&lt;&gt;"Serviço",AND(AUTOEVENTO="Manual",$M32=$A$15)),0,
         IF(OFFSET(CRONOPLE!$F$15,$M32-$A$15,AN$13)=0,10^12,OFFSET(CRONOPLE!$F$15,$M32-$A$15,AN$13)))</f>
        <v>2</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12.75" x14ac:dyDescent="0.2">
      <c r="A33" s="7" t="str">
        <f t="shared" ca="1" si="8"/>
        <v>15</v>
      </c>
      <c r="B33" s="7" t="str">
        <f ca="1">OFFSET(ORÇAMENTO!C$15,$L33,0)</f>
        <v>S</v>
      </c>
      <c r="C33" s="7" t="str">
        <f ca="1">OFFSET(ORÇAMENTO!L$15,$L33,0)</f>
        <v>F</v>
      </c>
      <c r="D33" s="116" t="str">
        <f ca="1">OFFSET(ORÇAMENTO!N$15,$L33,0)</f>
        <v>Serviço</v>
      </c>
      <c r="E33" s="117" t="str">
        <f ca="1">OFFSET(ORÇAMENTO!O$15,$L33,0)</f>
        <v>1.4.3.</v>
      </c>
      <c r="F33" s="163" t="str">
        <f ca="1">OFFSET(ORÇAMENTO!R$15,$L33,0)</f>
        <v>(Código não identificado nas referências)</v>
      </c>
      <c r="G33" s="164" t="str">
        <f ca="1">IF($D33&lt;&gt;"Serviço","",OFFSET(ORÇAMENTO!S$15,$L33,0))</f>
        <v>M2</v>
      </c>
      <c r="H33" s="122" cm="1">
        <f t="array" aca="1" ref="H33" ca="1">IF($D33&lt;&gt;"Serviço",0,IF(ACOMPANHAMENTO="BM",ROUND(OFFSET(ORÇAMENTO!AJ$15,$L33,0),15-13*ORÇAMENTO!$AF$7),IF(IFERROR(CÁLCULO.FrentesPreenchidas,0)=0,0,SUM(ROUND(OFFSET($P33,0,1,1,CÁLCULO.FrentesPreenchidas),15-13*ORÇAMENTO!$AF$7)))))</f>
        <v>1424</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◄M</v>
      </c>
      <c r="K33" s="652"/>
      <c r="L33" s="165">
        <f t="shared" ca="1" si="9"/>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 xml:space="preserve">Pavimentação </v>
      </c>
      <c r="O33" s="168"/>
      <c r="Q33" s="168">
        <v>1424</v>
      </c>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1068</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v>
      </c>
      <c r="AN33" s="171">
        <f ca="1">IF(OR($D33&lt;&gt;"Serviço",AND(AUTOEVENTO="Manual",$M33=$A$15)),0,
         IF(OFFSET(CRONOPLE!$F$15,$M33-$A$15,AN$13)=0,10^12,OFFSET(CRONOPLE!$F$15,$M33-$A$15,AN$13)))</f>
        <v>2</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12.75" x14ac:dyDescent="0.2">
      <c r="A34" s="7" t="str">
        <f t="shared" ca="1" si="8"/>
        <v>15</v>
      </c>
      <c r="B34" s="7" t="str">
        <f ca="1">OFFSET(ORÇAMENTO!C$15,$L34,0)</f>
        <v>S</v>
      </c>
      <c r="C34" s="7" t="str">
        <f ca="1">OFFSET(ORÇAMENTO!L$15,$L34,0)</f>
        <v>F</v>
      </c>
      <c r="D34" s="116" t="str">
        <f ca="1">OFFSET(ORÇAMENTO!N$15,$L34,0)</f>
        <v>Serviço</v>
      </c>
      <c r="E34" s="117" t="str">
        <f ca="1">OFFSET(ORÇAMENTO!O$15,$L34,0)</f>
        <v>1.4.4.</v>
      </c>
      <c r="F34" s="163" t="str">
        <f ca="1">OFFSET(ORÇAMENTO!R$15,$L34,0)</f>
        <v>(Código não identificado nas referências)</v>
      </c>
      <c r="G34" s="164" t="str">
        <f ca="1">IF($D34&lt;&gt;"Serviço","",OFFSET(ORÇAMENTO!S$15,$L34,0))</f>
        <v>M2</v>
      </c>
      <c r="H34" s="122" cm="1">
        <f t="array" aca="1" ref="H34" ca="1">IF($D34&lt;&gt;"Serviço",0,IF(ACOMPANHAMENTO="BM",ROUND(OFFSET(ORÇAMENTO!AJ$15,$L34,0),15-13*ORÇAMENTO!$AF$7),IF(IFERROR(CÁLCULO.FrentesPreenchidas,0)=0,0,SUM(ROUND(OFFSET($P34,0,1,1,CÁLCULO.FrentesPreenchidas),15-13*ORÇAMENTO!$AF$7)))))</f>
        <v>1424</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◄M</v>
      </c>
      <c r="K34" s="652"/>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 xml:space="preserve">Pavimentação </v>
      </c>
      <c r="O34" s="168"/>
      <c r="Q34" s="168">
        <v>1424</v>
      </c>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740.48</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v>
      </c>
      <c r="AN34" s="171">
        <f ca="1">IF(OR($D34&lt;&gt;"Serviço",AND(AUTOEVENTO="Manual",$M34=$A$15)),0,
         IF(OFFSET(CRONOPLE!$F$15,$M34-$A$15,AN$13)=0,10^12,OFFSET(CRONOPLE!$F$15,$M34-$A$15,AN$13)))</f>
        <v>2</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12.75" x14ac:dyDescent="0.2">
      <c r="A35" s="7" t="str">
        <f t="shared" ca="1" si="8"/>
        <v>15</v>
      </c>
      <c r="B35" s="7" t="str">
        <f ca="1">OFFSET(ORÇAMENTO!C$15,$L35,0)</f>
        <v>S</v>
      </c>
      <c r="C35" s="7" t="str">
        <f ca="1">OFFSET(ORÇAMENTO!L$15,$L35,0)</f>
        <v>F</v>
      </c>
      <c r="D35" s="116" t="str">
        <f ca="1">OFFSET(ORÇAMENTO!N$15,$L35,0)</f>
        <v>Serviço</v>
      </c>
      <c r="E35" s="117" t="str">
        <f ca="1">OFFSET(ORÇAMENTO!O$15,$L35,0)</f>
        <v>1.4.5.</v>
      </c>
      <c r="F35" s="163" t="str">
        <f ca="1">OFFSET(ORÇAMENTO!R$15,$L35,0)</f>
        <v>(Código não identificado nas referências)</v>
      </c>
      <c r="G35" s="164" t="str">
        <f ca="1">IF($D35&lt;&gt;"Serviço","",OFFSET(ORÇAMENTO!S$15,$L35,0))</f>
        <v>T</v>
      </c>
      <c r="H35" s="122" cm="1">
        <f t="array" aca="1" ref="H35" ca="1">IF($D35&lt;&gt;"Serviço",0,IF(ACOMPANHAMENTO="BM",ROUND(OFFSET(ORÇAMENTO!AJ$15,$L35,0),15-13*ORÇAMENTO!$AF$7),IF(IFERROR(CÁLCULO.FrentesPreenchidas,0)=0,0,SUM(ROUND(OFFSET($P35,0,1,1,CÁLCULO.FrentesPreenchidas),15-13*ORÇAMENTO!$AF$7)))))</f>
        <v>216.44</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◄M</v>
      </c>
      <c r="K35" s="652"/>
      <c r="L35" s="165">
        <f t="shared" ca="1" si="9"/>
        <v>20</v>
      </c>
      <c r="M35" s="166">
        <f ca="1">IF($D35&lt;&gt;"Serviço","",
          IF(AUTOEVENTO="manual",$A35,
                IF(ISERROR(MATCH($A35,$A$15:OFFSET($A35,-1,0),0)),MAX($M$15:OFFSET(M35,-1,0))+1,
                      INDEX($M$15:OFFSET(M35,-1,0),MATCH($A35,$A$15:OFFSET($A35,-1,0),0)))))</f>
        <v>4</v>
      </c>
      <c r="N35" s="167" t="str">
        <f ca="1">IF($D35&lt;&gt;"Serviço","",
         IF(AUTOEVENTO="Manual",
                IF($A35=0,"&lt;-- defina o número do agrupador",
                       OFFSET(EVENTOS!$D$15,$A35-$A$15,0)),
                OFFSET($F$15,$A35,0)))</f>
        <v xml:space="preserve">Pavimentação </v>
      </c>
      <c r="O35" s="168"/>
      <c r="Q35" s="168"/>
      <c r="R35" s="169">
        <v>216.44</v>
      </c>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51556.01</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v>
      </c>
      <c r="AN35" s="171">
        <f ca="1">IF(OR($D35&lt;&gt;"Serviço",AND(AUTOEVENTO="Manual",$M35=$A$15)),0,
         IF(OFFSET(CRONOPLE!$F$15,$M35-$A$15,AN$13)=0,10^12,OFFSET(CRONOPLE!$F$15,$M35-$A$15,AN$13)))</f>
        <v>2</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12.75" x14ac:dyDescent="0.2">
      <c r="A36" s="7" t="str">
        <f ca="1">IFERROR(IF(AUTOEVENTO="Manual",IF(K36&lt;&gt;"",MIN(VALUE(LEFT(K36,FIND(".",K36)-1)),COUNTA(EVENTOS.Lista)),0),IF(OR($B36&gt;AUTOEVENTO,$B36="S",$B36=0),SUBSTITUTE(OFFSET($A36,-1,0),IF($D36="Serviço",".",""),""),$L36&amp;".")),0)</f>
        <v>15</v>
      </c>
      <c r="B36" s="7" t="str">
        <f ca="1">OFFSET(ORÇAMENTO!C$15,$L36,0)</f>
        <v>S</v>
      </c>
      <c r="C36" s="7" t="str">
        <f ca="1">OFFSET(ORÇAMENTO!L$15,$L36,0)</f>
        <v>F</v>
      </c>
      <c r="D36" s="116" t="str">
        <f ca="1">OFFSET(ORÇAMENTO!N$15,$L36,0)</f>
        <v>Serviço</v>
      </c>
      <c r="E36" s="117" t="str">
        <f ca="1">OFFSET(ORÇAMENTO!O$15,$L36,0)</f>
        <v>1.4.6.</v>
      </c>
      <c r="F36" s="163" t="str">
        <f ca="1">OFFSET(ORÇAMENTO!R$15,$L36,0)</f>
        <v>(Código não identificado nas referências)</v>
      </c>
      <c r="G36" s="164" t="str">
        <f ca="1">IF($D36&lt;&gt;"Serviço","",OFFSET(ORÇAMENTO!S$15,$L36,0))</f>
        <v>TXKM</v>
      </c>
      <c r="H36" s="122" cm="1">
        <f t="array" aca="1" ref="H36" ca="1">IF($D36&lt;&gt;"Serviço",0,IF(ACOMPANHAMENTO="BM",ROUND(OFFSET(ORÇAMENTO!AJ$15,$L36,0),15-13*ORÇAMENTO!$AF$7),IF(IFERROR(CÁLCULO.FrentesPreenchidas,0)=0,0,SUM(ROUND(OFFSET($P36,0,1,1,CÁLCULO.FrentesPreenchidas),15-13*ORÇAMENTO!$AF$7)))))</f>
        <v>57380.18</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◄M</v>
      </c>
      <c r="K36" s="652"/>
      <c r="L36" s="165">
        <f ca="1">OFFSET(L36,-1,0)+1</f>
        <v>21</v>
      </c>
      <c r="M36" s="166">
        <f ca="1">IF($D36&lt;&gt;"Serviço","",
          IF(AUTOEVENTO="manual",$A36,
                IF(ISERROR(MATCH($A36,$A$15:OFFSET($A36,-1,0),0)),MAX($M$15:OFFSET(M36,-1,0))+1,
                      INDEX($M$15:OFFSET(M36,-1,0),MATCH($A36,$A$15:OFFSET($A36,-1,0),0)))))</f>
        <v>4</v>
      </c>
      <c r="N36" s="167" t="str">
        <f ca="1">IF($D36&lt;&gt;"Serviço","",
         IF(AUTOEVENTO="Manual",
                IF($A36=0,"&lt;-- defina o número do agrupador",
                       OFFSET(EVENTOS!$D$15,$A36-$A$15,0)),
                OFFSET($F$15,$A36,0)))</f>
        <v xml:space="preserve">Pavimentação </v>
      </c>
      <c r="O36" s="168"/>
      <c r="Q36" s="168">
        <v>40000</v>
      </c>
      <c r="R36" s="169">
        <v>17380.18</v>
      </c>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40800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17727.78</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v>
      </c>
      <c r="AN36" s="171">
        <f ca="1">IF(OR($D36&lt;&gt;"Serviço",AND(AUTOEVENTO="Manual",$M36=$A$15)),0,
         IF(OFFSET(CRONOPLE!$F$15,$M36-$A$15,AN$13)=0,10^12,OFFSET(CRONOPLE!$F$15,$M36-$A$15,AN$13)))</f>
        <v>2</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12.75" x14ac:dyDescent="0.2">
      <c r="A37" s="7" t="str">
        <f t="shared" ca="1" si="8"/>
        <v>22.</v>
      </c>
      <c r="B37" s="7">
        <f ca="1">OFFSET(ORÇAMENTO!C$15,$L37,0)</f>
        <v>2</v>
      </c>
      <c r="C37" s="7" t="str">
        <f ca="1">OFFSET(ORÇAMENTO!L$15,$L37,0)</f>
        <v>F</v>
      </c>
      <c r="D37" s="116" t="str">
        <f ca="1">OFFSET(ORÇAMENTO!N$15,$L37,0)</f>
        <v>Nível 2</v>
      </c>
      <c r="E37" s="117" t="str">
        <f ca="1">OFFSET(ORÇAMENTO!O$15,$L37,0)</f>
        <v>1.5.</v>
      </c>
      <c r="F37" s="163" t="str">
        <f ca="1">OFFSET(ORÇAMENTO!R$15,$L37,0)</f>
        <v>Materiais Asfálticos BDI 15,00%</v>
      </c>
      <c r="G37" s="164" t="str">
        <f ca="1">IF($D37&lt;&gt;"Serviço","",OFFSET(ORÇAMENTO!S$15,$L37,0))</f>
        <v/>
      </c>
      <c r="H37" s="122" cm="1">
        <f t="array" aca="1" ref="H37" ca="1">IF($D37&lt;&gt;"Serviço",0,IF(ACOMPANHAMENTO="BM",ROUND(OFFSET(ORÇAMENTO!AJ$15,$L37,0),15-13*ORÇAMENTO!$AF$7),IF(IFERROR(CÁLCULO.FrentesPreenchidas,0)=0,0,SUM(ROUND(OFFSET($P37,0,1,1,CÁLCULO.FrentesPreenchidas),15-13*ORÇAMENTO!$AF$7)))))</f>
        <v>0</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t="str">
        <f ca="1">IF($D37&lt;&gt;"Serviço","",
          IF(AUTOEVENTO="manual",$A37,
                IF(ISERROR(MATCH($A37,$A$15:OFFSET($A37,-1,0),0)),MAX($M$15:OFFSET(M37,-1,0))+1,
                      INDEX($M$15:OFFSET(M37,-1,0),MATCH($A37,$A$15:OFFSET($A37,-1,0),0)))))</f>
        <v/>
      </c>
      <c r="N37" s="167" t="str">
        <f ca="1">IF($D37&lt;&gt;"Serviço","",
         IF(AUTOEVENTO="Manual",
                IF($A37=0,"&lt;-- defina o número do agrupador",
                       OFFSET(EVENTOS!$D$15,$A37-$A$15,0)),
                OFFSET($F$15,$A37,0)))</f>
        <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0</v>
      </c>
      <c r="AN37" s="171">
        <f ca="1">IF(OR($D37&lt;&gt;"Serviço",AND(AUTOEVENTO="Manual",$M37=$A$15)),0,
         IF(OFFSET(CRONOPLE!$F$15,$M37-$A$15,AN$13)=0,10^12,OFFSET(CRONOPLE!$F$15,$M37-$A$15,AN$13)))</f>
        <v>0</v>
      </c>
      <c r="AO37" s="171">
        <f ca="1">IF(OR($D37&lt;&gt;"Serviço",AND(AUTOEVENTO="Manual",$M37=$A$15)),0,
         IF(OFFSET(CRONOPLE!$F$15,$M37-$A$15,AO$13)=0,10^12,OFFSET(CRONOPLE!$F$15,$M37-$A$15,AO$13)))</f>
        <v>0</v>
      </c>
      <c r="AP37" s="171">
        <f ca="1">IF(OR($D37&lt;&gt;"Serviço",AND(AUTOEVENTO="Manual",$M37=$A$15)),0,
         IF(OFFSET(CRONOPLE!$F$15,$M37-$A$15,AP$13)=0,10^12,OFFSET(CRONOPLE!$F$15,$M37-$A$15,AP$13)))</f>
        <v>0</v>
      </c>
      <c r="AQ37" s="171">
        <f ca="1">IF(OR($D37&lt;&gt;"Serviço",AND(AUTOEVENTO="Manual",$M37=$A$15)),0,
         IF(OFFSET(CRONOPLE!$F$15,$M37-$A$15,AQ$13)=0,10^12,OFFSET(CRONOPLE!$F$15,$M37-$A$15,AQ$13)))</f>
        <v>0</v>
      </c>
      <c r="AR37" s="171">
        <f ca="1">IF(OR($D37&lt;&gt;"Serviço",AND(AUTOEVENTO="Manual",$M37=$A$15)),0,
         IF(OFFSET(CRONOPLE!$F$15,$M37-$A$15,AR$13)=0,10^12,OFFSET(CRONOPLE!$F$15,$M37-$A$15,AR$13)))</f>
        <v>0</v>
      </c>
      <c r="AS37" s="171">
        <f ca="1">IF(OR($D37&lt;&gt;"Serviço",AND(AUTOEVENTO="Manual",$M37=$A$15)),0,
         IF(OFFSET(CRONOPLE!$F$15,$M37-$A$15,AS$13)=0,10^12,OFFSET(CRONOPLE!$F$15,$M37-$A$15,AS$13)))</f>
        <v>0</v>
      </c>
      <c r="AT37" s="171">
        <f ca="1">IF(OR($D37&lt;&gt;"Serviço",AND(AUTOEVENTO="Manual",$M37=$A$15)),0,
         IF(OFFSET(CRONOPLE!$F$15,$M37-$A$15,AT$13)=0,10^12,OFFSET(CRONOPLE!$F$15,$M37-$A$15,AT$13)))</f>
        <v>0</v>
      </c>
      <c r="AU37" s="171">
        <f ca="1">IF(OR($D37&lt;&gt;"Serviço",AND(AUTOEVENTO="Manual",$M37=$A$15)),0,
         IF(OFFSET(CRONOPLE!$F$15,$M37-$A$15,AU$13)=0,10^12,OFFSET(CRONOPLE!$F$15,$M37-$A$15,AU$13)))</f>
        <v>0</v>
      </c>
      <c r="AV37" s="171">
        <f ca="1">IF(OR($D37&lt;&gt;"Serviço",AND(AUTOEVENTO="Manual",$M37=$A$15)),0,
         IF(OFFSET(CRONOPLE!$F$15,$M37-$A$15,AV$13)=0,10^12,OFFSET(CRONOPLE!$F$15,$M37-$A$15,AV$13)))</f>
        <v>0</v>
      </c>
      <c r="AX37" s="172" cm="1">
        <f t="array" aca="1" ref="AX37" ca="1">IF(OR($D37&lt;&gt;"Serviço",AND(AUTOEVENTO="Manual",$M37=$A$15),$M37&gt;(ROW(PLE.lastrow)-ROW(PLE.firstrow))),0,
           IF(OFFSET(PLE!$G$15,$M37-$A$15,AX$13)="",10^12,OFFSET(PLE!$G$15,$M37-$A$15,AX$13)))</f>
        <v>0</v>
      </c>
      <c r="AY37" s="172" cm="1">
        <f t="array" aca="1" ref="AY37" ca="1">IF(OR($D37&lt;&gt;"Serviço",AND(AUTOEVENTO="Manual",$M37=$A$15),$M37&gt;(ROW(PLE.lastrow)-ROW(PLE.firstrow))),0,
           IF(OFFSET(PLE!$G$15,$M37-$A$15,AY$13)="",10^12,OFFSET(PLE!$G$15,$M37-$A$15,AY$13)))</f>
        <v>0</v>
      </c>
      <c r="AZ37" s="172" cm="1">
        <f t="array" aca="1" ref="AZ37" ca="1">IF(OR($D37&lt;&gt;"Serviço",AND(AUTOEVENTO="Manual",$M37=$A$15),$M37&gt;(ROW(PLE.lastrow)-ROW(PLE.firstrow))),0,
           IF(OFFSET(PLE!$G$15,$M37-$A$15,AZ$13)="",10^12,OFFSET(PLE!$G$15,$M37-$A$15,AZ$13)))</f>
        <v>0</v>
      </c>
      <c r="BA37" s="172" cm="1">
        <f t="array" aca="1" ref="BA37" ca="1">IF(OR($D37&lt;&gt;"Serviço",AND(AUTOEVENTO="Manual",$M37=$A$15),$M37&gt;(ROW(PLE.lastrow)-ROW(PLE.firstrow))),0,
           IF(OFFSET(PLE!$G$15,$M37-$A$15,BA$13)="",10^12,OFFSET(PLE!$G$15,$M37-$A$15,BA$13)))</f>
        <v>0</v>
      </c>
      <c r="BB37" s="172" cm="1">
        <f t="array" aca="1" ref="BB37" ca="1">IF(OR($D37&lt;&gt;"Serviço",AND(AUTOEVENTO="Manual",$M37=$A$15),$M37&gt;(ROW(PLE.lastrow)-ROW(PLE.firstrow))),0,
           IF(OFFSET(PLE!$G$15,$M37-$A$15,BB$13)="",10^12,OFFSET(PLE!$G$15,$M37-$A$15,BB$13)))</f>
        <v>0</v>
      </c>
      <c r="BC37" s="172" cm="1">
        <f t="array" aca="1" ref="BC37" ca="1">IF(OR($D37&lt;&gt;"Serviço",AND(AUTOEVENTO="Manual",$M37=$A$15),$M37&gt;(ROW(PLE.lastrow)-ROW(PLE.firstrow))),0,
           IF(OFFSET(PLE!$G$15,$M37-$A$15,BC$13)="",10^12,OFFSET(PLE!$G$15,$M37-$A$15,BC$13)))</f>
        <v>0</v>
      </c>
      <c r="BD37" s="172" cm="1">
        <f t="array" aca="1" ref="BD37" ca="1">IF(OR($D37&lt;&gt;"Serviço",AND(AUTOEVENTO="Manual",$M37=$A$15),$M37&gt;(ROW(PLE.lastrow)-ROW(PLE.firstrow))),0,
           IF(OFFSET(PLE!$G$15,$M37-$A$15,BD$13)="",10^12,OFFSET(PLE!$G$15,$M37-$A$15,BD$13)))</f>
        <v>0</v>
      </c>
      <c r="BE37" s="172" cm="1">
        <f t="array" aca="1" ref="BE37" ca="1">IF(OR($D37&lt;&gt;"Serviço",AND(AUTOEVENTO="Manual",$M37=$A$15),$M37&gt;(ROW(PLE.lastrow)-ROW(PLE.firstrow))),0,
           IF(OFFSET(PLE!$G$15,$M37-$A$15,BE$13)="",10^12,OFFSET(PLE!$G$15,$M37-$A$15,BE$13)))</f>
        <v>0</v>
      </c>
      <c r="BF37" s="172" cm="1">
        <f t="array" aca="1" ref="BF37" ca="1">IF(OR($D37&lt;&gt;"Serviço",AND(AUTOEVENTO="Manual",$M37=$A$15),$M37&gt;(ROW(PLE.lastrow)-ROW(PLE.firstrow))),0,
           IF(OFFSET(PLE!$G$15,$M37-$A$15,BF$13)="",10^12,OFFSET(PLE!$G$15,$M37-$A$15,BF$13)))</f>
        <v>0</v>
      </c>
      <c r="BG37" s="172" cm="1">
        <f t="array" aca="1" ref="BG37" ca="1">IF(OR($D37&lt;&gt;"Serviço",AND(AUTOEVENTO="Manual",$M37=$A$15),$M37&gt;(ROW(PLE.lastrow)-ROW(PLE.firstrow))),0,
           IF(OFFSET(PLE!$G$15,$M37-$A$15,BG$13)="",10^12,OFFSET(PLE!$G$15,$M37-$A$15,BG$13)))</f>
        <v>0</v>
      </c>
    </row>
    <row r="38" spans="1:59" ht="25.5" x14ac:dyDescent="0.2">
      <c r="A38" s="7" t="str">
        <f t="shared" ca="1" si="8"/>
        <v>22</v>
      </c>
      <c r="B38" s="7" t="str">
        <f ca="1">OFFSET(ORÇAMENTO!C$15,$L38,0)</f>
        <v>S</v>
      </c>
      <c r="C38" s="7" t="str">
        <f ca="1">OFFSET(ORÇAMENTO!L$15,$L38,0)</f>
        <v>F</v>
      </c>
      <c r="D38" s="116" t="str">
        <f ca="1">OFFSET(ORÇAMENTO!N$15,$L38,0)</f>
        <v>Serviço</v>
      </c>
      <c r="E38" s="117" t="str">
        <f ca="1">OFFSET(ORÇAMENTO!O$15,$L38,0)</f>
        <v>1.5.1.</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1.71</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◄M</v>
      </c>
      <c r="K38" s="652"/>
      <c r="L38" s="165">
        <f t="shared" ca="1" si="9"/>
        <v>23</v>
      </c>
      <c r="M38" s="166">
        <f ca="1">IF($D38&lt;&gt;"Serviço","",
          IF(AUTOEVENTO="manual",$A38,
                IF(ISERROR(MATCH($A38,$A$15:OFFSET($A38,-1,0),0)),MAX($M$15:OFFSET(M38,-1,0))+1,
                      INDEX($M$15:OFFSET(M38,-1,0),MATCH($A38,$A$15:OFFSET($A38,-1,0),0)))))</f>
        <v>5</v>
      </c>
      <c r="N38" s="167" t="str">
        <f ca="1">IF($D38&lt;&gt;"Serviço","",
         IF(AUTOEVENTO="Manual",
                IF($A38=0,"&lt;-- defina o número do agrupador",
                       OFFSET(EVENTOS!$D$15,$A38-$A$15,0)),
                OFFSET($F$15,$A38,0)))</f>
        <v>Materiais Asfálticos BDI 15,00%</v>
      </c>
      <c r="O38" s="168"/>
      <c r="Q38" s="168">
        <v>1.71</v>
      </c>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8440.2199999999993</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v>
      </c>
      <c r="AN38" s="171">
        <f ca="1">IF(OR($D38&lt;&gt;"Serviço",AND(AUTOEVENTO="Manual",$M38=$A$15)),0,
         IF(OFFSET(CRONOPLE!$F$15,$M38-$A$15,AN$13)=0,10^12,OFFSET(CRONOPLE!$F$15,$M38-$A$15,AN$13)))</f>
        <v>2</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25.5" x14ac:dyDescent="0.2">
      <c r="A39" s="7" t="str">
        <f t="shared" ca="1" si="8"/>
        <v>22</v>
      </c>
      <c r="B39" s="7" t="str">
        <f ca="1">OFFSET(ORÇAMENTO!C$15,$L39,0)</f>
        <v>S</v>
      </c>
      <c r="C39" s="7" t="str">
        <f ca="1">OFFSET(ORÇAMENTO!L$15,$L39,0)</f>
        <v>F</v>
      </c>
      <c r="D39" s="116" t="str">
        <f ca="1">OFFSET(ORÇAMENTO!N$15,$L39,0)</f>
        <v>Serviço</v>
      </c>
      <c r="E39" s="117" t="str">
        <f ca="1">OFFSET(ORÇAMENTO!O$15,$L39,0)</f>
        <v>1.5.2.</v>
      </c>
      <c r="F39" s="163" t="str">
        <f ca="1">OFFSET(ORÇAMENTO!R$15,$L39,0)</f>
        <v>(Código não identificado nas referências)</v>
      </c>
      <c r="G39" s="164" t="str">
        <f ca="1">IF($D39&lt;&gt;"Serviço","",OFFSET(ORÇAMENTO!S$15,$L39,0))</f>
        <v>-</v>
      </c>
      <c r="H39" s="122" cm="1">
        <f t="array" aca="1" ref="H39" ca="1">IF($D39&lt;&gt;"Serviço",0,IF(ACOMPANHAMENTO="BM",ROUND(OFFSET(ORÇAMENTO!AJ$15,$L39,0),15-13*ORÇAMENTO!$AF$7),IF(IFERROR(CÁLCULO.FrentesPreenchidas,0)=0,0,SUM(ROUND(OFFSET($P39,0,1,1,CÁLCULO.FrentesPreenchidas),15-13*ORÇAMENTO!$AF$7)))))</f>
        <v>0.71</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◄M</v>
      </c>
      <c r="K39" s="652"/>
      <c r="L39" s="165">
        <f t="shared" ca="1" si="9"/>
        <v>24</v>
      </c>
      <c r="M39" s="166">
        <f ca="1">IF($D39&lt;&gt;"Serviço","",
          IF(AUTOEVENTO="manual",$A39,
                IF(ISERROR(MATCH($A39,$A$15:OFFSET($A39,-1,0),0)),MAX($M$15:OFFSET(M39,-1,0))+1,
                      INDEX($M$15:OFFSET(M39,-1,0),MATCH($A39,$A$15:OFFSET($A39,-1,0),0)))))</f>
        <v>5</v>
      </c>
      <c r="N39" s="167" t="str">
        <f ca="1">IF($D39&lt;&gt;"Serviço","",
         IF(AUTOEVENTO="Manual",
                IF($A39=0,"&lt;-- defina o número do agrupador",
                       OFFSET(EVENTOS!$D$15,$A39-$A$15,0)),
                OFFSET($F$15,$A39,0)))</f>
        <v>Materiais Asfálticos BDI 15,00%</v>
      </c>
      <c r="O39" s="168"/>
      <c r="Q39" s="168">
        <v>0.71</v>
      </c>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3516.94</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v>
      </c>
      <c r="AN39" s="171">
        <f ca="1">IF(OR($D39&lt;&gt;"Serviço",AND(AUTOEVENTO="Manual",$M39=$A$15)),0,
         IF(OFFSET(CRONOPLE!$F$15,$M39-$A$15,AN$13)=0,10^12,OFFSET(CRONOPLE!$F$15,$M39-$A$15,AN$13)))</f>
        <v>2</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25.5" x14ac:dyDescent="0.2">
      <c r="A40" s="7" t="str">
        <f t="shared" ca="1" si="8"/>
        <v>22</v>
      </c>
      <c r="B40" s="7" t="str">
        <f ca="1">OFFSET(ORÇAMENTO!C$15,$L40,0)</f>
        <v>S</v>
      </c>
      <c r="C40" s="7" t="str">
        <f ca="1">OFFSET(ORÇAMENTO!L$15,$L40,0)</f>
        <v>F</v>
      </c>
      <c r="D40" s="116" t="str">
        <f ca="1">OFFSET(ORÇAMENTO!N$15,$L40,0)</f>
        <v>Serviço</v>
      </c>
      <c r="E40" s="117" t="str">
        <f ca="1">OFFSET(ORÇAMENTO!O$15,$L40,0)</f>
        <v>1.5.3.</v>
      </c>
      <c r="F40" s="163" t="str">
        <f ca="1">OFFSET(ORÇAMENTO!R$15,$L40,0)</f>
        <v>(Código não identificado nas referências)</v>
      </c>
      <c r="G40" s="164" t="str">
        <f ca="1">IF($D40&lt;&gt;"Serviço","",OFFSET(ORÇAMENTO!S$15,$L40,0))</f>
        <v>-</v>
      </c>
      <c r="H40" s="122" cm="1">
        <f t="array" aca="1" ref="H40" ca="1">IF($D40&lt;&gt;"Serviço",0,IF(ACOMPANHAMENTO="BM",ROUND(OFFSET(ORÇAMENTO!AJ$15,$L40,0),15-13*ORÇAMENTO!$AF$7),IF(IFERROR(CÁLCULO.FrentesPreenchidas,0)=0,0,SUM(ROUND(OFFSET($P40,0,1,1,CÁLCULO.FrentesPreenchidas),15-13*ORÇAMENTO!$AF$7)))))</f>
        <v>10.82</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◄M</v>
      </c>
      <c r="K40" s="652"/>
      <c r="L40" s="165">
        <f t="shared" ca="1" si="9"/>
        <v>25</v>
      </c>
      <c r="M40" s="166">
        <f ca="1">IF($D40&lt;&gt;"Serviço","",
          IF(AUTOEVENTO="manual",$A40,
                IF(ISERROR(MATCH($A40,$A$15:OFFSET($A40,-1,0),0)),MAX($M$15:OFFSET(M40,-1,0))+1,
                      INDEX($M$15:OFFSET(M40,-1,0),MATCH($A40,$A$15:OFFSET($A40,-1,0),0)))))</f>
        <v>5</v>
      </c>
      <c r="N40" s="167" t="str">
        <f ca="1">IF($D40&lt;&gt;"Serviço","",
         IF(AUTOEVENTO="Manual",
                IF($A40=0,"&lt;-- defina o número do agrupador",
                       OFFSET(EVENTOS!$D$15,$A40-$A$15,0)),
                OFFSET($F$15,$A40,0)))</f>
        <v>Materiais Asfálticos BDI 15,00%</v>
      </c>
      <c r="O40" s="168"/>
      <c r="Q40" s="168"/>
      <c r="R40" s="169">
        <v>10.82</v>
      </c>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70433.98</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v>
      </c>
      <c r="AN40" s="171">
        <f ca="1">IF(OR($D40&lt;&gt;"Serviço",AND(AUTOEVENTO="Manual",$M40=$A$15)),0,
         IF(OFFSET(CRONOPLE!$F$15,$M40-$A$15,AN$13)=0,10^12,OFFSET(CRONOPLE!$F$15,$M40-$A$15,AN$13)))</f>
        <v>2</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25.5" x14ac:dyDescent="0.2">
      <c r="A41" s="7" t="str">
        <f ca="1">IFERROR(IF(AUTOEVENTO="Manual",IF(K41&lt;&gt;"",MIN(VALUE(LEFT(K41,FIND(".",K41)-1)),COUNTA(EVENTOS.Lista)),0),IF(OR($B41&gt;AUTOEVENTO,$B41="S",$B41=0),SUBSTITUTE(OFFSET($A41,-1,0),IF($D41="Serviço",".",""),""),$L41&amp;".")),0)</f>
        <v>22</v>
      </c>
      <c r="B41" s="7" t="str">
        <f ca="1">OFFSET(ORÇAMENTO!C$15,$L41,0)</f>
        <v>S</v>
      </c>
      <c r="C41" s="7" t="str">
        <f ca="1">OFFSET(ORÇAMENTO!L$15,$L41,0)</f>
        <v>F</v>
      </c>
      <c r="D41" s="116" t="str">
        <f ca="1">OFFSET(ORÇAMENTO!N$15,$L41,0)</f>
        <v>Serviço</v>
      </c>
      <c r="E41" s="117" t="str">
        <f ca="1">OFFSET(ORÇAMENTO!O$15,$L41,0)</f>
        <v>1.5.4.</v>
      </c>
      <c r="F41" s="163" t="str">
        <f ca="1">OFFSET(ORÇAMENTO!R$15,$L41,0)</f>
        <v>(Código não identificado nas referências)</v>
      </c>
      <c r="G41" s="164" t="str">
        <f ca="1">IF($D41&lt;&gt;"Serviço","",OFFSET(ORÇAMENTO!S$15,$L41,0))</f>
        <v>TXKM</v>
      </c>
      <c r="H41" s="122" cm="1">
        <f t="array" aca="1" ref="H41" ca="1">IF($D41&lt;&gt;"Serviço",0,IF(ACOMPANHAMENTO="BM",ROUND(OFFSET(ORÇAMENTO!AJ$15,$L41,0),15-13*ORÇAMENTO!$AF$7),IF(IFERROR(CÁLCULO.FrentesPreenchidas,0)=0,0,SUM(ROUND(OFFSET($P41,0,1,1,CÁLCULO.FrentesPreenchidas),15-13*ORÇAMENTO!$AF$7)))))</f>
        <v>3895.87</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◄M</v>
      </c>
      <c r="K41" s="652"/>
      <c r="L41" s="165">
        <f ca="1">OFFSET(L41,-1,0)+1</f>
        <v>26</v>
      </c>
      <c r="M41" s="166">
        <f ca="1">IF($D41&lt;&gt;"Serviço","",
          IF(AUTOEVENTO="manual",$A41,
                IF(ISERROR(MATCH($A41,$A$15:OFFSET($A41,-1,0),0)),MAX($M$15:OFFSET(M41,-1,0))+1,
                      INDEX($M$15:OFFSET(M41,-1,0),MATCH($A41,$A$15:OFFSET($A41,-1,0),0)))))</f>
        <v>5</v>
      </c>
      <c r="N41" s="167" t="str">
        <f ca="1">IF($D41&lt;&gt;"Serviço","",
         IF(AUTOEVENTO="Manual",
                IF($A41=0,"&lt;-- defina o número do agrupador",
                       OFFSET(EVENTOS!$D$15,$A41-$A$15,0)),
                OFFSET($F$15,$A41,0)))</f>
        <v>Materiais Asfálticos BDI 15,00%</v>
      </c>
      <c r="O41" s="168"/>
      <c r="Q41" s="168">
        <v>1895.87</v>
      </c>
      <c r="R41" s="169">
        <v>2000</v>
      </c>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5213.6400000000003</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5500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v>
      </c>
      <c r="AN41" s="171">
        <f ca="1">IF(OR($D41&lt;&gt;"Serviço",AND(AUTOEVENTO="Manual",$M41=$A$15)),0,
         IF(OFFSET(CRONOPLE!$F$15,$M41-$A$15,AN$13)=0,10^12,OFFSET(CRONOPLE!$F$15,$M41-$A$15,AN$13)))</f>
        <v>2</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12.75" x14ac:dyDescent="0.2">
      <c r="A42" s="7" t="str">
        <f t="shared" ca="1" si="8"/>
        <v>27.</v>
      </c>
      <c r="B42" s="7">
        <f ca="1">OFFSET(ORÇAMENTO!C$15,$L42,0)</f>
        <v>2</v>
      </c>
      <c r="C42" s="7" t="str">
        <f ca="1">OFFSET(ORÇAMENTO!L$15,$L42,0)</f>
        <v>F</v>
      </c>
      <c r="D42" s="116" t="str">
        <f ca="1">OFFSET(ORÇAMENTO!N$15,$L42,0)</f>
        <v>Nível 2</v>
      </c>
      <c r="E42" s="117" t="str">
        <f ca="1">OFFSET(ORÇAMENTO!O$15,$L42,0)</f>
        <v>1.6.</v>
      </c>
      <c r="F42" s="163" t="str">
        <f ca="1">OFFSET(ORÇAMENTO!R$15,$L42,0)</f>
        <v>Sinalização Viária</v>
      </c>
      <c r="G42" s="164" t="str">
        <f ca="1">IF($D42&lt;&gt;"Serviço","",OFFSET(ORÇAMENTO!S$15,$L42,0))</f>
        <v/>
      </c>
      <c r="H42" s="122" cm="1">
        <f t="array" aca="1" ref="H42" ca="1">IF($D42&lt;&gt;"Serviço",0,IF(ACOMPANHAMENTO="BM",ROUND(OFFSET(ORÇAMENTO!AJ$15,$L42,0),15-13*ORÇAMENTO!$AF$7),IF(IFERROR(CÁLCULO.FrentesPreenchidas,0)=0,0,SUM(ROUND(OFFSET($P42,0,1,1,CÁLCULO.FrentesPreenchidas),15-13*ORÇAMENTO!$AF$7)))))</f>
        <v>0</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0</v>
      </c>
      <c r="AN42" s="171">
        <f ca="1">IF(OR($D42&lt;&gt;"Serviço",AND(AUTOEVENTO="Manual",$M42=$A$15)),0,
         IF(OFFSET(CRONOPLE!$F$15,$M42-$A$15,AN$13)=0,10^12,OFFSET(CRONOPLE!$F$15,$M42-$A$15,AN$13)))</f>
        <v>0</v>
      </c>
      <c r="AO42" s="171">
        <f ca="1">IF(OR($D42&lt;&gt;"Serviço",AND(AUTOEVENTO="Manual",$M42=$A$15)),0,
         IF(OFFSET(CRONOPLE!$F$15,$M42-$A$15,AO$13)=0,10^12,OFFSET(CRONOPLE!$F$15,$M42-$A$15,AO$13)))</f>
        <v>0</v>
      </c>
      <c r="AP42" s="171">
        <f ca="1">IF(OR($D42&lt;&gt;"Serviço",AND(AUTOEVENTO="Manual",$M42=$A$15)),0,
         IF(OFFSET(CRONOPLE!$F$15,$M42-$A$15,AP$13)=0,10^12,OFFSET(CRONOPLE!$F$15,$M42-$A$15,AP$13)))</f>
        <v>0</v>
      </c>
      <c r="AQ42" s="171">
        <f ca="1">IF(OR($D42&lt;&gt;"Serviço",AND(AUTOEVENTO="Manual",$M42=$A$15)),0,
         IF(OFFSET(CRONOPLE!$F$15,$M42-$A$15,AQ$13)=0,10^12,OFFSET(CRONOPLE!$F$15,$M42-$A$15,AQ$13)))</f>
        <v>0</v>
      </c>
      <c r="AR42" s="171">
        <f ca="1">IF(OR($D42&lt;&gt;"Serviço",AND(AUTOEVENTO="Manual",$M42=$A$15)),0,
         IF(OFFSET(CRONOPLE!$F$15,$M42-$A$15,AR$13)=0,10^12,OFFSET(CRONOPLE!$F$15,$M42-$A$15,AR$13)))</f>
        <v>0</v>
      </c>
      <c r="AS42" s="171">
        <f ca="1">IF(OR($D42&lt;&gt;"Serviço",AND(AUTOEVENTO="Manual",$M42=$A$15)),0,
         IF(OFFSET(CRONOPLE!$F$15,$M42-$A$15,AS$13)=0,10^12,OFFSET(CRONOPLE!$F$15,$M42-$A$15,AS$13)))</f>
        <v>0</v>
      </c>
      <c r="AT42" s="171">
        <f ca="1">IF(OR($D42&lt;&gt;"Serviço",AND(AUTOEVENTO="Manual",$M42=$A$15)),0,
         IF(OFFSET(CRONOPLE!$F$15,$M42-$A$15,AT$13)=0,10^12,OFFSET(CRONOPLE!$F$15,$M42-$A$15,AT$13)))</f>
        <v>0</v>
      </c>
      <c r="AU42" s="171">
        <f ca="1">IF(OR($D42&lt;&gt;"Serviço",AND(AUTOEVENTO="Manual",$M42=$A$15)),0,
         IF(OFFSET(CRONOPLE!$F$15,$M42-$A$15,AU$13)=0,10^12,OFFSET(CRONOPLE!$F$15,$M42-$A$15,AU$13)))</f>
        <v>0</v>
      </c>
      <c r="AV42" s="171">
        <f ca="1">IF(OR($D42&lt;&gt;"Serviço",AND(AUTOEVENTO="Manual",$M42=$A$15)),0,
         IF(OFFSET(CRONOPLE!$F$15,$M42-$A$15,AV$13)=0,10^12,OFFSET(CRONOPLE!$F$15,$M42-$A$15,AV$13)))</f>
        <v>0</v>
      </c>
      <c r="AX42" s="172" cm="1">
        <f t="array" aca="1" ref="AX42" ca="1">IF(OR($D42&lt;&gt;"Serviço",AND(AUTOEVENTO="Manual",$M42=$A$15),$M42&gt;(ROW(PLE.lastrow)-ROW(PLE.firstrow))),0,
           IF(OFFSET(PLE!$G$15,$M42-$A$15,AX$13)="",10^12,OFFSET(PLE!$G$15,$M42-$A$15,AX$13)))</f>
        <v>0</v>
      </c>
      <c r="AY42" s="172" cm="1">
        <f t="array" aca="1" ref="AY42" ca="1">IF(OR($D42&lt;&gt;"Serviço",AND(AUTOEVENTO="Manual",$M42=$A$15),$M42&gt;(ROW(PLE.lastrow)-ROW(PLE.firstrow))),0,
           IF(OFFSET(PLE!$G$15,$M42-$A$15,AY$13)="",10^12,OFFSET(PLE!$G$15,$M42-$A$15,AY$13)))</f>
        <v>0</v>
      </c>
      <c r="AZ42" s="172" cm="1">
        <f t="array" aca="1" ref="AZ42" ca="1">IF(OR($D42&lt;&gt;"Serviço",AND(AUTOEVENTO="Manual",$M42=$A$15),$M42&gt;(ROW(PLE.lastrow)-ROW(PLE.firstrow))),0,
           IF(OFFSET(PLE!$G$15,$M42-$A$15,AZ$13)="",10^12,OFFSET(PLE!$G$15,$M42-$A$15,AZ$13)))</f>
        <v>0</v>
      </c>
      <c r="BA42" s="172" cm="1">
        <f t="array" aca="1" ref="BA42" ca="1">IF(OR($D42&lt;&gt;"Serviço",AND(AUTOEVENTO="Manual",$M42=$A$15),$M42&gt;(ROW(PLE.lastrow)-ROW(PLE.firstrow))),0,
           IF(OFFSET(PLE!$G$15,$M42-$A$15,BA$13)="",10^12,OFFSET(PLE!$G$15,$M42-$A$15,BA$13)))</f>
        <v>0</v>
      </c>
      <c r="BB42" s="172" cm="1">
        <f t="array" aca="1" ref="BB42" ca="1">IF(OR($D42&lt;&gt;"Serviço",AND(AUTOEVENTO="Manual",$M42=$A$15),$M42&gt;(ROW(PLE.lastrow)-ROW(PLE.firstrow))),0,
           IF(OFFSET(PLE!$G$15,$M42-$A$15,BB$13)="",10^12,OFFSET(PLE!$G$15,$M42-$A$15,BB$13)))</f>
        <v>0</v>
      </c>
      <c r="BC42" s="172" cm="1">
        <f t="array" aca="1" ref="BC42" ca="1">IF(OR($D42&lt;&gt;"Serviço",AND(AUTOEVENTO="Manual",$M42=$A$15),$M42&gt;(ROW(PLE.lastrow)-ROW(PLE.firstrow))),0,
           IF(OFFSET(PLE!$G$15,$M42-$A$15,BC$13)="",10^12,OFFSET(PLE!$G$15,$M42-$A$15,BC$13)))</f>
        <v>0</v>
      </c>
      <c r="BD42" s="172" cm="1">
        <f t="array" aca="1" ref="BD42" ca="1">IF(OR($D42&lt;&gt;"Serviço",AND(AUTOEVENTO="Manual",$M42=$A$15),$M42&gt;(ROW(PLE.lastrow)-ROW(PLE.firstrow))),0,
           IF(OFFSET(PLE!$G$15,$M42-$A$15,BD$13)="",10^12,OFFSET(PLE!$G$15,$M42-$A$15,BD$13)))</f>
        <v>0</v>
      </c>
      <c r="BE42" s="172" cm="1">
        <f t="array" aca="1" ref="BE42" ca="1">IF(OR($D42&lt;&gt;"Serviço",AND(AUTOEVENTO="Manual",$M42=$A$15),$M42&gt;(ROW(PLE.lastrow)-ROW(PLE.firstrow))),0,
           IF(OFFSET(PLE!$G$15,$M42-$A$15,BE$13)="",10^12,OFFSET(PLE!$G$15,$M42-$A$15,BE$13)))</f>
        <v>0</v>
      </c>
      <c r="BF42" s="172" cm="1">
        <f t="array" aca="1" ref="BF42" ca="1">IF(OR($D42&lt;&gt;"Serviço",AND(AUTOEVENTO="Manual",$M42=$A$15),$M42&gt;(ROW(PLE.lastrow)-ROW(PLE.firstrow))),0,
           IF(OFFSET(PLE!$G$15,$M42-$A$15,BF$13)="",10^12,OFFSET(PLE!$G$15,$M42-$A$15,BF$13)))</f>
        <v>0</v>
      </c>
      <c r="BG42" s="172" cm="1">
        <f t="array" aca="1" ref="BG42" ca="1">IF(OR($D42&lt;&gt;"Serviço",AND(AUTOEVENTO="Manual",$M42=$A$15),$M42&gt;(ROW(PLE.lastrow)-ROW(PLE.firstrow))),0,
           IF(OFFSET(PLE!$G$15,$M42-$A$15,BG$13)="",10^12,OFFSET(PLE!$G$15,$M42-$A$15,BG$13)))</f>
        <v>0</v>
      </c>
    </row>
    <row r="43" spans="1:59" ht="12.75" x14ac:dyDescent="0.2">
      <c r="A43" s="7" t="str">
        <f t="shared" ca="1" si="8"/>
        <v>27</v>
      </c>
      <c r="B43" s="7" t="str">
        <f ca="1">OFFSET(ORÇAMENTO!C$15,$L43,0)</f>
        <v>S</v>
      </c>
      <c r="C43" s="7" t="str">
        <f ca="1">OFFSET(ORÇAMENTO!L$15,$L43,0)</f>
        <v>F</v>
      </c>
      <c r="D43" s="116" t="str">
        <f ca="1">OFFSET(ORÇAMENTO!N$15,$L43,0)</f>
        <v>Serviço</v>
      </c>
      <c r="E43" s="117" t="str">
        <f ca="1">OFFSET(ORÇAMENTO!O$15,$L43,0)</f>
        <v>1.6.1.</v>
      </c>
      <c r="F43" s="163" t="str">
        <f ca="1">OFFSET(ORÇAMENTO!R$15,$L43,0)</f>
        <v>(Código não identificado nas referências)</v>
      </c>
      <c r="G43" s="164" t="str">
        <f ca="1">IF($D43&lt;&gt;"Serviço","",OFFSET(ORÇAMENTO!S$15,$L43,0))</f>
        <v>M2</v>
      </c>
      <c r="H43" s="122" cm="1">
        <f t="array" aca="1" ref="H43" ca="1">IF($D43&lt;&gt;"Serviço",0,IF(ACOMPANHAMENTO="BM",ROUND(OFFSET(ORÇAMENTO!AJ$15,$L43,0),15-13*ORÇAMENTO!$AF$7),IF(IFERROR(CÁLCULO.FrentesPreenchidas,0)=0,0,SUM(ROUND(OFFSET($P43,0,1,1,CÁLCULO.FrentesPreenchidas),15-13*ORÇAMENTO!$AF$7)))))</f>
        <v>80</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◄M</v>
      </c>
      <c r="K43" s="652"/>
      <c r="L43" s="165">
        <f t="shared" ca="1" si="9"/>
        <v>28</v>
      </c>
      <c r="M43" s="166">
        <f ca="1">IF($D43&lt;&gt;"Serviço","",
          IF(AUTOEVENTO="manual",$A43,
                IF(ISERROR(MATCH($A43,$A$15:OFFSET($A43,-1,0),0)),MAX($M$15:OFFSET(M43,-1,0))+1,
                      INDEX($M$15:OFFSET(M43,-1,0),MATCH($A43,$A$15:OFFSET($A43,-1,0),0)))))</f>
        <v>6</v>
      </c>
      <c r="N43" s="167" t="str">
        <f ca="1">IF($D43&lt;&gt;"Serviço","",
         IF(AUTOEVENTO="Manual",
                IF($A43=0,"&lt;-- defina o número do agrupador",
                       OFFSET(EVENTOS!$D$15,$A43-$A$15,0)),
                OFFSET($F$15,$A43,0)))</f>
        <v>Sinalização Viária</v>
      </c>
      <c r="O43" s="168"/>
      <c r="Q43" s="168"/>
      <c r="R43" s="169">
        <v>80</v>
      </c>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2786.4</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v>
      </c>
      <c r="AN43" s="171">
        <f ca="1">IF(OR($D43&lt;&gt;"Serviço",AND(AUTOEVENTO="Manual",$M43=$A$15)),0,
         IF(OFFSET(CRONOPLE!$F$15,$M43-$A$15,AN$13)=0,10^12,OFFSET(CRONOPLE!$F$15,$M43-$A$15,AN$13)))</f>
        <v>2</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5.0999999999999996" customHeight="1" x14ac:dyDescent="0.2">
      <c r="B44" s="7">
        <f ca="1">OFFSET(ORÇAMENTO!C$15,ROW(B44)-ROW(B$15),0)</f>
        <v>-1</v>
      </c>
      <c r="C44" s="7" t="str">
        <f ca="1">OFFSET(ORÇAMENTO!L$15,ROW(C44)-ROW(C$15),0)</f>
        <v>F</v>
      </c>
      <c r="D44" s="634" t="s">
        <v>700</v>
      </c>
      <c r="E44" s="618"/>
      <c r="F44" s="619"/>
      <c r="G44" s="619"/>
      <c r="H44" s="619"/>
      <c r="I44" s="419"/>
      <c r="K44" s="569"/>
      <c r="L44" s="165">
        <f t="shared" ref="L44" ca="1" si="10">OFFSET(L44,-1,0)+1</f>
        <v>29</v>
      </c>
      <c r="M44" s="421"/>
      <c r="N44" s="420"/>
      <c r="O44" s="635"/>
      <c r="Q44" s="618"/>
      <c r="R44" s="619"/>
      <c r="S44" s="619"/>
      <c r="T44" s="619"/>
      <c r="U44" s="619"/>
      <c r="V44" s="619"/>
      <c r="W44" s="619"/>
      <c r="X44" s="619"/>
      <c r="Y44" s="619"/>
      <c r="Z44" s="419"/>
      <c r="AB44" s="636"/>
      <c r="AC44" s="637"/>
      <c r="AD44" s="637"/>
      <c r="AE44" s="637"/>
      <c r="AF44" s="637"/>
      <c r="AG44" s="637"/>
      <c r="AH44" s="637"/>
      <c r="AI44" s="637"/>
      <c r="AJ44" s="637"/>
      <c r="AK44" s="133"/>
      <c r="AM44" s="636"/>
      <c r="AN44" s="637"/>
      <c r="AO44" s="637"/>
      <c r="AP44" s="637"/>
      <c r="AQ44" s="637"/>
      <c r="AR44" s="637"/>
      <c r="AS44" s="637"/>
      <c r="AT44" s="637"/>
      <c r="AU44" s="637"/>
      <c r="AV44" s="133"/>
      <c r="AX44" s="636"/>
      <c r="AY44" s="637"/>
      <c r="AZ44" s="637"/>
      <c r="BA44" s="637"/>
      <c r="BB44" s="637"/>
      <c r="BC44" s="637"/>
      <c r="BD44" s="637"/>
      <c r="BE44" s="637"/>
      <c r="BF44" s="637"/>
      <c r="BG44" s="133"/>
    </row>
    <row r="45" spans="1:59" ht="12.75" customHeight="1" x14ac:dyDescent="0.2"/>
    <row r="46" spans="1:59" ht="12.75" customHeight="1" x14ac:dyDescent="0.2"/>
    <row r="47" spans="1:59" ht="12.75" customHeight="1" x14ac:dyDescent="0.2"/>
    <row r="48" spans="1:59" ht="15" customHeight="1" x14ac:dyDescent="0.2">
      <c r="F48" s="179" t="str">
        <f>Import.Município</f>
        <v>Ivorá/RS</v>
      </c>
      <c r="I48" s="460"/>
      <c r="J48" s="460"/>
      <c r="K48" s="460"/>
      <c r="L48" s="460"/>
      <c r="M48" s="461"/>
      <c r="N48" s="417"/>
      <c r="T48" s="139"/>
      <c r="U48" s="139"/>
      <c r="V48" s="180"/>
      <c r="W48" s="180"/>
      <c r="X48" s="180"/>
      <c r="Y48" s="180"/>
    </row>
    <row r="49" spans="3:21" ht="12.75" customHeight="1" x14ac:dyDescent="0.2">
      <c r="F49" s="9" t="s">
        <v>693</v>
      </c>
      <c r="I49" s="181" t="s">
        <v>696</v>
      </c>
      <c r="J49" s="181"/>
      <c r="K49" s="181"/>
      <c r="L49" s="181"/>
      <c r="T49" s="181" t="s">
        <v>696</v>
      </c>
      <c r="U49" s="181"/>
    </row>
    <row r="50" spans="3:21" ht="12.75" customHeight="1" x14ac:dyDescent="0.2">
      <c r="I50" s="398" t="str">
        <f t="array" aca="1" ref="I50:I52" ca="1">OFFSET(Import.RespOrçamento,0,-1) &amp; " " &amp; Import.RespOrçamento</f>
        <v>Nome: Vitor Camargo Costa</v>
      </c>
      <c r="K50" s="79"/>
      <c r="L50" s="79"/>
      <c r="T50" s="398" t="str">
        <f t="array" aca="1" ref="T50:T52" ca="1">OFFSET(Import.RespOrçamento,0,-1) &amp; " " &amp; Import.RespOrçamento</f>
        <v>Nome: Vitor Camargo Costa</v>
      </c>
      <c r="U50" s="78"/>
    </row>
    <row r="51" spans="3:21" ht="12.75" customHeight="1" x14ac:dyDescent="0.2">
      <c r="F51" s="459">
        <f>DADOS!$C$25</f>
        <v>46169</v>
      </c>
      <c r="I51" s="398" t="str">
        <f ca="1"/>
        <v>CREA/CAU: RS 203284</v>
      </c>
      <c r="K51" s="79"/>
      <c r="L51" s="79"/>
      <c r="T51" s="398" t="str">
        <f ca="1"/>
        <v>CREA/CAU: RS 203284</v>
      </c>
      <c r="U51" s="78"/>
    </row>
    <row r="52" spans="3:21" ht="12.75" customHeight="1" x14ac:dyDescent="0.2">
      <c r="F52" s="140" t="s">
        <v>694</v>
      </c>
      <c r="I52" s="398" t="str">
        <f ca="1"/>
        <v>ART/RRT: 14443886</v>
      </c>
      <c r="K52" s="79"/>
      <c r="L52" s="79"/>
      <c r="T52" s="398" t="str">
        <f ca="1"/>
        <v>ART/RRT: 14443886</v>
      </c>
      <c r="U52" s="78"/>
    </row>
    <row r="53" spans="3:21" ht="12.75" customHeight="1" x14ac:dyDescent="0.2">
      <c r="C53"/>
      <c r="M53"/>
    </row>
    <row r="54" spans="3:21" ht="12.75" customHeight="1" x14ac:dyDescent="0.2">
      <c r="C54"/>
      <c r="M54"/>
    </row>
    <row r="55" spans="3:21" ht="12.75" customHeight="1" x14ac:dyDescent="0.2">
      <c r="C55"/>
      <c r="M55"/>
    </row>
    <row r="56" spans="3:21" ht="12.75" customHeight="1" x14ac:dyDescent="0.2">
      <c r="C56"/>
      <c r="M56"/>
    </row>
    <row r="57" spans="3:21" ht="12.75" customHeight="1" x14ac:dyDescent="0.2">
      <c r="C57"/>
      <c r="M57"/>
    </row>
    <row r="58" spans="3:21" ht="12.75" customHeight="1" x14ac:dyDescent="0.2">
      <c r="C58"/>
      <c r="M58"/>
    </row>
    <row r="59" spans="3:21" ht="12.75" customHeight="1" x14ac:dyDescent="0.2">
      <c r="C59"/>
      <c r="M59"/>
    </row>
    <row r="60" spans="3:21" ht="12.75" customHeight="1" x14ac:dyDescent="0.2">
      <c r="C60"/>
      <c r="M60"/>
    </row>
    <row r="61" spans="3:21" ht="12.75" customHeight="1" x14ac:dyDescent="0.2">
      <c r="C61"/>
      <c r="M61"/>
    </row>
    <row r="62" spans="3:21" ht="12.75" customHeight="1" x14ac:dyDescent="0.2">
      <c r="C62"/>
      <c r="M62"/>
    </row>
    <row r="63" spans="3:21" ht="12.75" customHeight="1" x14ac:dyDescent="0.2">
      <c r="C63"/>
      <c r="M63"/>
    </row>
    <row r="64" spans="3:21"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60956" spans="3:13" ht="12.75" customHeight="1" x14ac:dyDescent="0.2">
      <c r="C60956"/>
      <c r="M60956"/>
    </row>
    <row r="60972" spans="3:13" ht="12.75" customHeight="1" x14ac:dyDescent="0.2">
      <c r="C60972"/>
      <c r="M60972"/>
    </row>
    <row r="60988" spans="3:13" ht="12.75" customHeight="1" x14ac:dyDescent="0.2">
      <c r="C60988"/>
      <c r="M60988"/>
    </row>
    <row r="61004" spans="3:13" ht="12.75" customHeight="1" x14ac:dyDescent="0.2">
      <c r="C61004"/>
      <c r="M61004"/>
    </row>
    <row r="61017" spans="3:13" ht="12.75" customHeight="1" x14ac:dyDescent="0.2">
      <c r="C61017"/>
      <c r="M61017"/>
    </row>
    <row r="61018" spans="3:13" ht="12.75" customHeight="1" x14ac:dyDescent="0.2">
      <c r="C61018"/>
      <c r="M61018"/>
    </row>
    <row r="61020" spans="3:13" ht="12.75" customHeight="1" x14ac:dyDescent="0.2">
      <c r="C61020"/>
      <c r="M61020"/>
    </row>
    <row r="61031" spans="3:13" ht="12.75" customHeight="1" x14ac:dyDescent="0.2">
      <c r="C61031"/>
      <c r="M61031"/>
    </row>
    <row r="61032" spans="3:13" ht="12.75" customHeight="1" x14ac:dyDescent="0.2">
      <c r="C61032"/>
      <c r="M61032"/>
    </row>
    <row r="61033" spans="3:13" ht="12.75" customHeight="1" x14ac:dyDescent="0.2">
      <c r="C61033"/>
      <c r="M61033"/>
    </row>
    <row r="61034" spans="3:13" ht="12.75" customHeight="1" x14ac:dyDescent="0.2">
      <c r="C61034"/>
      <c r="M61034"/>
    </row>
    <row r="61036" spans="3:13" ht="12.75" customHeight="1" x14ac:dyDescent="0.2">
      <c r="C61036"/>
      <c r="M61036"/>
    </row>
    <row r="61047" spans="3:13" ht="12.75" customHeight="1" x14ac:dyDescent="0.2">
      <c r="C61047"/>
      <c r="M61047"/>
    </row>
    <row r="61048" spans="3:13" ht="12.75" customHeight="1" x14ac:dyDescent="0.2">
      <c r="C61048"/>
      <c r="M61048"/>
    </row>
    <row r="61049" spans="3:13" ht="12.75" customHeight="1" x14ac:dyDescent="0.2">
      <c r="C61049"/>
      <c r="M61049"/>
    </row>
    <row r="61050" spans="3:13" ht="12.75" customHeight="1" x14ac:dyDescent="0.2">
      <c r="C61050"/>
      <c r="M61050"/>
    </row>
    <row r="61052" spans="3:13" ht="12.75" customHeight="1" x14ac:dyDescent="0.2">
      <c r="C61052"/>
      <c r="M61052"/>
    </row>
    <row r="61063" spans="3:13" ht="12.75" customHeight="1" x14ac:dyDescent="0.2">
      <c r="C61063"/>
      <c r="M61063"/>
    </row>
    <row r="61064" spans="3:13" ht="12.75" customHeight="1" x14ac:dyDescent="0.2">
      <c r="C61064"/>
      <c r="M61064"/>
    </row>
    <row r="61065" spans="3:13" ht="12.75" customHeight="1" x14ac:dyDescent="0.2">
      <c r="C61065"/>
      <c r="M61065"/>
    </row>
    <row r="61066" spans="3:13" ht="12.75" customHeight="1" x14ac:dyDescent="0.2">
      <c r="C61066"/>
      <c r="M61066"/>
    </row>
    <row r="61068" spans="3:13" ht="12.75" customHeight="1" x14ac:dyDescent="0.2">
      <c r="C61068"/>
      <c r="M61068"/>
    </row>
    <row r="61079" spans="3:13" ht="12.75" customHeight="1" x14ac:dyDescent="0.2">
      <c r="C61079"/>
      <c r="M61079"/>
    </row>
    <row r="61080" spans="3:13" ht="12.75" customHeight="1" x14ac:dyDescent="0.2">
      <c r="C61080"/>
      <c r="M61080"/>
    </row>
    <row r="61081" spans="3:13" ht="12.75" customHeight="1" x14ac:dyDescent="0.2">
      <c r="C61081"/>
      <c r="M61081"/>
    </row>
    <row r="61082" spans="3:13" ht="12.75" customHeight="1" x14ac:dyDescent="0.2">
      <c r="C61082"/>
      <c r="M61082"/>
    </row>
    <row r="61084" spans="3:13" ht="12.75" customHeight="1" x14ac:dyDescent="0.2">
      <c r="C61084"/>
      <c r="M61084"/>
    </row>
    <row r="61095" spans="3:13" ht="12.75" customHeight="1" x14ac:dyDescent="0.2">
      <c r="C61095"/>
      <c r="M61095"/>
    </row>
    <row r="61096" spans="3:13" ht="12.75" customHeight="1" x14ac:dyDescent="0.2">
      <c r="C61096"/>
      <c r="M61096"/>
    </row>
    <row r="61097" spans="3:13" ht="12.75" customHeight="1" x14ac:dyDescent="0.2">
      <c r="C61097"/>
      <c r="M61097"/>
    </row>
    <row r="61098" spans="3:13" ht="12.75" customHeight="1" x14ac:dyDescent="0.2">
      <c r="C61098"/>
      <c r="M61098"/>
    </row>
    <row r="61100" spans="3:13" ht="12.75" customHeight="1" x14ac:dyDescent="0.2">
      <c r="C61100"/>
      <c r="M61100"/>
    </row>
    <row r="61111" spans="3:13" ht="12.75" customHeight="1" x14ac:dyDescent="0.2">
      <c r="C61111"/>
      <c r="M61111"/>
    </row>
    <row r="61112" spans="3:13" ht="12.75" customHeight="1" x14ac:dyDescent="0.2">
      <c r="C61112"/>
      <c r="M61112"/>
    </row>
    <row r="61113" spans="3:13" ht="12.75" customHeight="1" x14ac:dyDescent="0.2">
      <c r="C61113"/>
      <c r="M61113"/>
    </row>
    <row r="61114" spans="3:13" ht="12.75" customHeight="1" x14ac:dyDescent="0.2">
      <c r="C61114"/>
      <c r="M61114"/>
    </row>
    <row r="61116" spans="3:13" ht="12.75" customHeight="1" x14ac:dyDescent="0.2">
      <c r="C61116"/>
      <c r="M61116"/>
    </row>
    <row r="61127" spans="3:13" ht="12.75" customHeight="1" x14ac:dyDescent="0.2">
      <c r="C61127"/>
      <c r="M61127"/>
    </row>
    <row r="61128" spans="3:13" ht="12.75" customHeight="1" x14ac:dyDescent="0.2">
      <c r="C61128"/>
      <c r="M61128"/>
    </row>
    <row r="61129" spans="3:13" ht="12.75" customHeight="1" x14ac:dyDescent="0.2">
      <c r="C61129"/>
      <c r="M61129"/>
    </row>
    <row r="61130" spans="3:13" ht="12.75" customHeight="1" x14ac:dyDescent="0.2">
      <c r="C61130"/>
      <c r="M61130"/>
    </row>
    <row r="61132" spans="3:13" ht="12.75" customHeight="1" x14ac:dyDescent="0.2">
      <c r="C61132"/>
      <c r="M61132"/>
    </row>
    <row r="61143" spans="3:13" ht="12.75" customHeight="1" x14ac:dyDescent="0.2">
      <c r="C61143"/>
      <c r="M61143"/>
    </row>
    <row r="61144" spans="3:13" ht="12.75" customHeight="1" x14ac:dyDescent="0.2">
      <c r="C61144"/>
      <c r="M61144"/>
    </row>
    <row r="61145" spans="3:13" ht="12.75" customHeight="1" x14ac:dyDescent="0.2">
      <c r="C61145"/>
      <c r="M61145"/>
    </row>
    <row r="61146" spans="3:13" ht="12.75" customHeight="1" x14ac:dyDescent="0.2">
      <c r="C61146"/>
      <c r="M61146"/>
    </row>
    <row r="61148" spans="3:13" ht="12.75" customHeight="1" x14ac:dyDescent="0.2">
      <c r="C61148"/>
      <c r="M61148"/>
    </row>
    <row r="61156" spans="3:13" ht="12.75" customHeight="1" x14ac:dyDescent="0.2">
      <c r="C61156"/>
      <c r="M61156"/>
    </row>
    <row r="61159" spans="3:13" ht="12.75" customHeight="1" x14ac:dyDescent="0.2">
      <c r="C61159"/>
      <c r="M61159"/>
    </row>
    <row r="61160" spans="3:13" ht="12.75" customHeight="1" x14ac:dyDescent="0.2">
      <c r="C61160"/>
      <c r="M61160"/>
    </row>
    <row r="61161" spans="3:13" ht="12.75" customHeight="1" x14ac:dyDescent="0.2">
      <c r="C61161"/>
      <c r="M61161"/>
    </row>
    <row r="61162" spans="3:13" ht="12.75" customHeight="1" x14ac:dyDescent="0.2">
      <c r="C61162"/>
      <c r="M61162"/>
    </row>
    <row r="61164" spans="3:13" ht="12.75" customHeight="1" x14ac:dyDescent="0.2">
      <c r="C61164"/>
      <c r="M61164"/>
    </row>
    <row r="61172" spans="3:13" ht="12.75" customHeight="1" x14ac:dyDescent="0.2">
      <c r="C61172"/>
      <c r="M61172"/>
    </row>
    <row r="61175" spans="3:13" ht="12.75" customHeight="1" x14ac:dyDescent="0.2">
      <c r="C61175"/>
      <c r="M61175"/>
    </row>
    <row r="61176" spans="3:13" ht="12.75" customHeight="1" x14ac:dyDescent="0.2">
      <c r="C61176"/>
      <c r="M61176"/>
    </row>
    <row r="61177" spans="3:13" ht="12.75" customHeight="1" x14ac:dyDescent="0.2">
      <c r="C61177"/>
      <c r="M61177"/>
    </row>
    <row r="61178" spans="3:13" ht="12.75" customHeight="1" x14ac:dyDescent="0.2">
      <c r="C61178"/>
      <c r="M61178"/>
    </row>
    <row r="61180" spans="3:13" ht="12.75" customHeight="1" x14ac:dyDescent="0.2">
      <c r="C61180"/>
      <c r="M61180"/>
    </row>
    <row r="61188" spans="3:13" ht="12.75" customHeight="1" x14ac:dyDescent="0.2">
      <c r="C61188"/>
      <c r="M61188"/>
    </row>
    <row r="61189" spans="3:13" ht="12.75" customHeight="1" x14ac:dyDescent="0.2">
      <c r="C61189"/>
      <c r="M61189"/>
    </row>
    <row r="61191" spans="3:13" ht="12.75" customHeight="1" x14ac:dyDescent="0.2">
      <c r="C61191"/>
      <c r="M61191"/>
    </row>
    <row r="61192" spans="3:13" ht="12.75" customHeight="1" x14ac:dyDescent="0.2">
      <c r="C61192"/>
      <c r="M61192"/>
    </row>
    <row r="61193" spans="3:13" ht="12.75" customHeight="1" x14ac:dyDescent="0.2">
      <c r="C61193"/>
      <c r="M61193"/>
    </row>
    <row r="61194" spans="3:13" ht="12.75" customHeight="1" x14ac:dyDescent="0.2">
      <c r="C61194"/>
      <c r="M61194"/>
    </row>
    <row r="61196" spans="3:13" ht="12.75" customHeight="1" x14ac:dyDescent="0.2">
      <c r="C61196"/>
      <c r="M61196"/>
    </row>
    <row r="61204" spans="3:13" ht="12.75" customHeight="1" x14ac:dyDescent="0.2">
      <c r="C61204"/>
      <c r="M61204"/>
    </row>
    <row r="61205" spans="3:13" ht="12.75" customHeight="1" x14ac:dyDescent="0.2">
      <c r="C61205"/>
      <c r="M61205"/>
    </row>
    <row r="61206" spans="3:13" ht="12.75" customHeight="1" x14ac:dyDescent="0.2">
      <c r="C61206"/>
      <c r="M61206"/>
    </row>
    <row r="61207" spans="3:13" ht="12.75" customHeight="1" x14ac:dyDescent="0.2">
      <c r="C61207"/>
      <c r="M61207"/>
    </row>
    <row r="61208" spans="3:13" ht="12.75" customHeight="1" x14ac:dyDescent="0.2">
      <c r="C61208"/>
      <c r="M61208"/>
    </row>
    <row r="61209" spans="3:13" ht="12.75" customHeight="1" x14ac:dyDescent="0.2">
      <c r="C61209"/>
      <c r="M61209"/>
    </row>
    <row r="61210" spans="3:13" ht="12.75" customHeight="1" x14ac:dyDescent="0.2">
      <c r="C61210"/>
      <c r="M61210"/>
    </row>
    <row r="61212" spans="3:13" ht="12.75" customHeight="1" x14ac:dyDescent="0.2">
      <c r="C61212"/>
      <c r="M61212"/>
    </row>
    <row r="61220" spans="3:13" ht="12.75" customHeight="1" x14ac:dyDescent="0.2">
      <c r="C61220"/>
      <c r="M61220"/>
    </row>
    <row r="61221" spans="3:13" ht="12.75" customHeight="1" x14ac:dyDescent="0.2">
      <c r="C61221"/>
      <c r="M61221"/>
    </row>
    <row r="61222" spans="3:13" ht="12.75" customHeight="1" x14ac:dyDescent="0.2">
      <c r="C61222"/>
      <c r="M61222"/>
    </row>
    <row r="61223" spans="3:13" ht="12.75" customHeight="1" x14ac:dyDescent="0.2">
      <c r="C61223"/>
      <c r="M61223"/>
    </row>
    <row r="61224" spans="3:13" ht="12.75" customHeight="1" x14ac:dyDescent="0.2">
      <c r="C61224"/>
      <c r="M61224"/>
    </row>
    <row r="61225" spans="3:13" ht="12.75" customHeight="1" x14ac:dyDescent="0.2">
      <c r="C61225"/>
      <c r="M61225"/>
    </row>
    <row r="61226" spans="3:13" ht="12.75" customHeight="1" x14ac:dyDescent="0.2">
      <c r="C61226"/>
      <c r="M61226"/>
    </row>
    <row r="61228" spans="3:13" ht="12.75" customHeight="1" x14ac:dyDescent="0.2">
      <c r="C61228"/>
      <c r="M61228"/>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sheetData>
  <sheetProtection algorithmName="SHA-512" hashValue="9u+9vlf0ZbwIXUg1tj4Vf876PVketv4OAqs4X97ZeEYa7ifTXvg8zsZRnhCJ7StNDtOK2eYqmJphSpZ4/eOEwA==" saltValue="xEwPRDCAUd0/vNRFm5IK7g==" spinCount="100000" sheet="1" objects="1" scenarios="1" autoFilter="0"/>
  <autoFilter ref="C15:C44"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42:I43">
    <cfRule type="expression" dxfId="453" priority="14669" stopIfTrue="1">
      <formula>$B14=1</formula>
    </cfRule>
    <cfRule type="expression" dxfId="452" priority="14670" stopIfTrue="1">
      <formula>OR($B14=0,$B14=2,$B14=3,$B14=4)</formula>
    </cfRule>
  </conditionalFormatting>
  <conditionalFormatting sqref="M12:N44">
    <cfRule type="expression" dxfId="451" priority="14671" stopIfTrue="1">
      <formula>ACOMPANHAMENTO="BM"</formula>
    </cfRule>
    <cfRule type="expression" dxfId="450" priority="14672" stopIfTrue="1">
      <formula>OR($B12=0,$B12=2,$B12=3,$B12=4)</formula>
    </cfRule>
    <cfRule type="expression" dxfId="449" priority="14673" stopIfTrue="1">
      <formula>$B12=1</formula>
    </cfRule>
  </conditionalFormatting>
  <conditionalFormatting sqref="K12:K44">
    <cfRule type="expression" dxfId="448" priority="14674" stopIfTrue="1">
      <formula>OR(ACOMPANHAMENTO="BM",$A$12&lt;&gt;"Manual")</formula>
    </cfRule>
    <cfRule type="expression" dxfId="447" priority="14675" stopIfTrue="1">
      <formula>$B12=1</formula>
    </cfRule>
    <cfRule type="expression" dxfId="446" priority="14676" stopIfTrue="1">
      <formula>OR($B12=2,$B12=3,$B12=4,$B12=0)</formula>
    </cfRule>
  </conditionalFormatting>
  <conditionalFormatting sqref="O12:AA44">
    <cfRule type="expression" dxfId="445" priority="8260" stopIfTrue="1">
      <formula>ACOMPANHAMENTO="BM"</formula>
    </cfRule>
    <cfRule type="expression" dxfId="444" priority="14678" stopIfTrue="1">
      <formula>AND(O$12&lt;&gt;".",OR($B12=0,$B12=2,$B12=3,$B12=4,AND(O$12="",$B12&lt;&gt;"Empty"),OFFSET(O$1,0,-1)=0))</formula>
    </cfRule>
    <cfRule type="expression" dxfId="443" priority="14679" stopIfTrue="1">
      <formula>AND($B12=1,O$1=1)</formula>
    </cfRule>
  </conditionalFormatting>
  <conditionalFormatting sqref="Q15:Z15">
    <cfRule type="expression" dxfId="442" priority="14677">
      <formula>Q$11="▼"</formula>
    </cfRule>
  </conditionalFormatting>
  <conditionalFormatting sqref="O15">
    <cfRule type="expression" dxfId="441" priority="8259">
      <formula>O$11="▼"</formula>
    </cfRule>
  </conditionalFormatting>
  <conditionalFormatting sqref="N14 N42:N43">
    <cfRule type="expression" dxfId="440" priority="5294">
      <formula>$J14="►"</formula>
    </cfRule>
  </conditionalFormatting>
  <conditionalFormatting sqref="N12">
    <cfRule type="cellIs" dxfId="439" priority="5292" operator="notEqual">
      <formula>"FRENTES DE OBRA:"</formula>
    </cfRule>
  </conditionalFormatting>
  <conditionalFormatting sqref="Q14:AA14">
    <cfRule type="expression" dxfId="438" priority="3077">
      <formula>Q14&lt;&gt;ROUND(Q14,2)</formula>
    </cfRule>
  </conditionalFormatting>
  <conditionalFormatting sqref="H14">
    <cfRule type="expression" dxfId="437" priority="2637" stopIfTrue="1">
      <formula>$B14=1</formula>
    </cfRule>
    <cfRule type="expression" dxfId="436" priority="2638" stopIfTrue="1">
      <formula>OR($B14=0,$B14=2,$B14=3,$B14=4)</formula>
    </cfRule>
  </conditionalFormatting>
  <conditionalFormatting sqref="H14 H42:H43">
    <cfRule type="expression" dxfId="435" priority="2636">
      <formula>$J14="►S"</formula>
    </cfRule>
  </conditionalFormatting>
  <conditionalFormatting sqref="D16:G19 I16:I19 I27 D27:G27 I21:I24 D21:G24">
    <cfRule type="expression" dxfId="434" priority="233" stopIfTrue="1">
      <formula>$B16=1</formula>
    </cfRule>
    <cfRule type="expression" dxfId="433" priority="234" stopIfTrue="1">
      <formula>OR($B16=0,$B16=2,$B16=3,$B16=4)</formula>
    </cfRule>
  </conditionalFormatting>
  <conditionalFormatting sqref="N16:N19 N27 N21:N24">
    <cfRule type="expression" dxfId="432" priority="232">
      <formula>$J16="►"</formula>
    </cfRule>
  </conditionalFormatting>
  <conditionalFormatting sqref="Q16:AA19 Q27:AA27 Q21:AA24">
    <cfRule type="expression" dxfId="431" priority="231">
      <formula>Q16&lt;&gt;ROUND(Q16,2)</formula>
    </cfRule>
  </conditionalFormatting>
  <conditionalFormatting sqref="H16:H19 H27 H21:H24">
    <cfRule type="expression" dxfId="430" priority="229" stopIfTrue="1">
      <formula>$B16=1</formula>
    </cfRule>
    <cfRule type="expression" dxfId="429" priority="230" stopIfTrue="1">
      <formula>OR($B16=0,$B16=2,$B16=3,$B16=4)</formula>
    </cfRule>
  </conditionalFormatting>
  <conditionalFormatting sqref="H16:H19 H27 H21:H24">
    <cfRule type="expression" dxfId="428" priority="228">
      <formula>$J16="►S"</formula>
    </cfRule>
  </conditionalFormatting>
  <conditionalFormatting sqref="D29:G35 I29:I35 I37:I38 D37:G38">
    <cfRule type="expression" dxfId="427" priority="226" stopIfTrue="1">
      <formula>$B29=1</formula>
    </cfRule>
    <cfRule type="expression" dxfId="426" priority="227" stopIfTrue="1">
      <formula>OR($B29=0,$B29=2,$B29=3,$B29=4)</formula>
    </cfRule>
  </conditionalFormatting>
  <conditionalFormatting sqref="N29:N35 N37:N38">
    <cfRule type="expression" dxfId="425" priority="225">
      <formula>$J29="►"</formula>
    </cfRule>
  </conditionalFormatting>
  <conditionalFormatting sqref="Q29:AA35 Q37:AA38">
    <cfRule type="expression" dxfId="424" priority="224">
      <formula>Q29&lt;&gt;ROUND(Q29,2)</formula>
    </cfRule>
  </conditionalFormatting>
  <conditionalFormatting sqref="H29:H35 H37:H38">
    <cfRule type="expression" dxfId="423" priority="222" stopIfTrue="1">
      <formula>$B29=1</formula>
    </cfRule>
    <cfRule type="expression" dxfId="422" priority="223" stopIfTrue="1">
      <formula>OR($B29=0,$B29=2,$B29=3,$B29=4)</formula>
    </cfRule>
  </conditionalFormatting>
  <conditionalFormatting sqref="H29:H35 H37:H38">
    <cfRule type="expression" dxfId="421" priority="221">
      <formula>$J29="►S"</formula>
    </cfRule>
  </conditionalFormatting>
  <conditionalFormatting sqref="D39:G40 I39:I40">
    <cfRule type="expression" dxfId="420" priority="219" stopIfTrue="1">
      <formula>$B39=1</formula>
    </cfRule>
    <cfRule type="expression" dxfId="419" priority="220" stopIfTrue="1">
      <formula>OR($B39=0,$B39=2,$B39=3,$B39=4)</formula>
    </cfRule>
  </conditionalFormatting>
  <conditionalFormatting sqref="N39:N40">
    <cfRule type="expression" dxfId="418" priority="218">
      <formula>$J39="►"</formula>
    </cfRule>
  </conditionalFormatting>
  <conditionalFormatting sqref="Q39:AA40">
    <cfRule type="expression" dxfId="417" priority="217">
      <formula>Q39&lt;&gt;ROUND(Q39,2)</formula>
    </cfRule>
  </conditionalFormatting>
  <conditionalFormatting sqref="H39:H40">
    <cfRule type="expression" dxfId="416" priority="215" stopIfTrue="1">
      <formula>$B39=1</formula>
    </cfRule>
    <cfRule type="expression" dxfId="415" priority="216" stopIfTrue="1">
      <formula>OR($B39=0,$B39=2,$B39=3,$B39=4)</formula>
    </cfRule>
  </conditionalFormatting>
  <conditionalFormatting sqref="H39:H40">
    <cfRule type="expression" dxfId="414" priority="214">
      <formula>$J39="►S"</formula>
    </cfRule>
  </conditionalFormatting>
  <conditionalFormatting sqref="Q42:AA43">
    <cfRule type="expression" dxfId="413" priority="210">
      <formula>Q42&lt;&gt;ROUND(Q42,2)</formula>
    </cfRule>
  </conditionalFormatting>
  <conditionalFormatting sqref="D25:G26 I25:I26">
    <cfRule type="expression" dxfId="412" priority="37" stopIfTrue="1">
      <formula>$B25=1</formula>
    </cfRule>
    <cfRule type="expression" dxfId="411" priority="38" stopIfTrue="1">
      <formula>OR($B25=0,$B25=2,$B25=3,$B25=4)</formula>
    </cfRule>
  </conditionalFormatting>
  <conditionalFormatting sqref="N25:N26">
    <cfRule type="expression" dxfId="410" priority="36">
      <formula>$J25="►"</formula>
    </cfRule>
  </conditionalFormatting>
  <conditionalFormatting sqref="Q25:AA26">
    <cfRule type="expression" dxfId="409" priority="35">
      <formula>Q25&lt;&gt;ROUND(Q25,2)</formula>
    </cfRule>
  </conditionalFormatting>
  <conditionalFormatting sqref="H25:H26">
    <cfRule type="expression" dxfId="408" priority="33" stopIfTrue="1">
      <formula>$B25=1</formula>
    </cfRule>
    <cfRule type="expression" dxfId="407" priority="34" stopIfTrue="1">
      <formula>OR($B25=0,$B25=2,$B25=3,$B25=4)</formula>
    </cfRule>
  </conditionalFormatting>
  <conditionalFormatting sqref="H25:H26">
    <cfRule type="expression" dxfId="406" priority="32">
      <formula>$J25="►S"</formula>
    </cfRule>
  </conditionalFormatting>
  <conditionalFormatting sqref="D28:G28 I28">
    <cfRule type="expression" dxfId="405" priority="30" stopIfTrue="1">
      <formula>$B28=1</formula>
    </cfRule>
    <cfRule type="expression" dxfId="404" priority="31" stopIfTrue="1">
      <formula>OR($B28=0,$B28=2,$B28=3,$B28=4)</formula>
    </cfRule>
  </conditionalFormatting>
  <conditionalFormatting sqref="N28">
    <cfRule type="expression" dxfId="403" priority="29">
      <formula>$J28="►"</formula>
    </cfRule>
  </conditionalFormatting>
  <conditionalFormatting sqref="Q28:AA28">
    <cfRule type="expression" dxfId="402" priority="28">
      <formula>Q28&lt;&gt;ROUND(Q28,2)</formula>
    </cfRule>
  </conditionalFormatting>
  <conditionalFormatting sqref="H28">
    <cfRule type="expression" dxfId="401" priority="26" stopIfTrue="1">
      <formula>$B28=1</formula>
    </cfRule>
    <cfRule type="expression" dxfId="400" priority="27" stopIfTrue="1">
      <formula>OR($B28=0,$B28=2,$B28=3,$B28=4)</formula>
    </cfRule>
  </conditionalFormatting>
  <conditionalFormatting sqref="H28">
    <cfRule type="expression" dxfId="399" priority="25">
      <formula>$J28="►S"</formula>
    </cfRule>
  </conditionalFormatting>
  <conditionalFormatting sqref="D20:G20 I20">
    <cfRule type="expression" dxfId="398" priority="23" stopIfTrue="1">
      <formula>$B20=1</formula>
    </cfRule>
    <cfRule type="expression" dxfId="397" priority="24" stopIfTrue="1">
      <formula>OR($B20=0,$B20=2,$B20=3,$B20=4)</formula>
    </cfRule>
  </conditionalFormatting>
  <conditionalFormatting sqref="N20">
    <cfRule type="expression" dxfId="396" priority="22">
      <formula>$J20="►"</formula>
    </cfRule>
  </conditionalFormatting>
  <conditionalFormatting sqref="Q20:AA20">
    <cfRule type="expression" dxfId="395" priority="21">
      <formula>Q20&lt;&gt;ROUND(Q20,2)</formula>
    </cfRule>
  </conditionalFormatting>
  <conditionalFormatting sqref="H20">
    <cfRule type="expression" dxfId="394" priority="19" stopIfTrue="1">
      <formula>$B20=1</formula>
    </cfRule>
    <cfRule type="expression" dxfId="393" priority="20" stopIfTrue="1">
      <formula>OR($B20=0,$B20=2,$B20=3,$B20=4)</formula>
    </cfRule>
  </conditionalFormatting>
  <conditionalFormatting sqref="H20">
    <cfRule type="expression" dxfId="392" priority="18">
      <formula>$J20="►S"</formula>
    </cfRule>
  </conditionalFormatting>
  <conditionalFormatting sqref="D36:G36 I36">
    <cfRule type="expression" dxfId="391" priority="16" stopIfTrue="1">
      <formula>$B36=1</formula>
    </cfRule>
    <cfRule type="expression" dxfId="390" priority="17" stopIfTrue="1">
      <formula>OR($B36=0,$B36=2,$B36=3,$B36=4)</formula>
    </cfRule>
  </conditionalFormatting>
  <conditionalFormatting sqref="N36">
    <cfRule type="expression" dxfId="389" priority="15">
      <formula>$J36="►"</formula>
    </cfRule>
  </conditionalFormatting>
  <conditionalFormatting sqref="Q36:AA36">
    <cfRule type="expression" dxfId="388" priority="14">
      <formula>Q36&lt;&gt;ROUND(Q36,2)</formula>
    </cfRule>
  </conditionalFormatting>
  <conditionalFormatting sqref="H36">
    <cfRule type="expression" dxfId="387" priority="12" stopIfTrue="1">
      <formula>$B36=1</formula>
    </cfRule>
    <cfRule type="expression" dxfId="386" priority="13" stopIfTrue="1">
      <formula>OR($B36=0,$B36=2,$B36=3,$B36=4)</formula>
    </cfRule>
  </conditionalFormatting>
  <conditionalFormatting sqref="H36">
    <cfRule type="expression" dxfId="385" priority="11">
      <formula>$J36="►S"</formula>
    </cfRule>
  </conditionalFormatting>
  <conditionalFormatting sqref="D41:G41 I41">
    <cfRule type="expression" dxfId="384" priority="9" stopIfTrue="1">
      <formula>$B41=1</formula>
    </cfRule>
    <cfRule type="expression" dxfId="383" priority="10" stopIfTrue="1">
      <formula>OR($B41=0,$B41=2,$B41=3,$B41=4)</formula>
    </cfRule>
  </conditionalFormatting>
  <conditionalFormatting sqref="N41">
    <cfRule type="expression" dxfId="382" priority="8">
      <formula>$J41="►"</formula>
    </cfRule>
  </conditionalFormatting>
  <conditionalFormatting sqref="Q41:AA41">
    <cfRule type="expression" dxfId="381" priority="7">
      <formula>Q41&lt;&gt;ROUND(Q41,2)</formula>
    </cfRule>
  </conditionalFormatting>
  <conditionalFormatting sqref="H41">
    <cfRule type="expression" dxfId="380" priority="5" stopIfTrue="1">
      <formula>$B41=1</formula>
    </cfRule>
    <cfRule type="expression" dxfId="379" priority="6" stopIfTrue="1">
      <formula>OR($B41=0,$B41=2,$B41=3,$B41=4)</formula>
    </cfRule>
  </conditionalFormatting>
  <conditionalFormatting sqref="H41">
    <cfRule type="expression" dxfId="378" priority="4">
      <formula>$J41="►S"</formula>
    </cfRule>
  </conditionalFormatting>
  <dataValidations count="4">
    <dataValidation type="decimal" operator="greaterThan" allowBlank="1" showErrorMessage="1" error="Apenas números decimais maiores que zero." sqref="O14 Q14:Z14 O16:O43 Q16:Z43"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43"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43"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IF(AUTOEVENTO="Manual",IF(EVENTOS!$F1&gt;0,"F",""),IF(AND(B1&gt;0,B1&lt;=MAX(CÁLCULO!$M$15:$M$44)),"F",""))</f>
        <v>#REF!</v>
      </c>
      <c r="B1" s="247" t="e">
        <f ca="1">OFFSET(B1,-1,0)+1</f>
        <v>#REF!</v>
      </c>
      <c r="C1" s="514" t="e">
        <f ca="1">IF(AUTOEVENTO="Manual",IF($B1&gt;0,OFFSET(EVENTOS!$D$15,$B1-$B$15,0),0),IF(B1&lt;=MAX(CÁLCULO!$M$15:$M$44),VLOOKUP($B1,CÁLCULO!$M$15:$N$44,2,FALSE),0))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2" t="s">
        <v>757</v>
      </c>
      <c r="AD2" s="753"/>
      <c r="AE2" s="754"/>
    </row>
    <row r="3" spans="1:31" ht="12.75" customHeight="1" x14ac:dyDescent="0.2">
      <c r="G3" s="82"/>
      <c r="AD3" s="483"/>
      <c r="AE3" s="483"/>
    </row>
    <row r="4" spans="1:31" ht="12.75" customHeight="1" x14ac:dyDescent="0.2">
      <c r="B4" s="684" t="s">
        <v>652</v>
      </c>
      <c r="C4" s="684"/>
      <c r="D4" s="684"/>
      <c r="G4" s="722" t="s">
        <v>650</v>
      </c>
      <c r="H4" s="722"/>
      <c r="I4" s="722"/>
      <c r="J4" s="722" t="s">
        <v>707</v>
      </c>
      <c r="K4" s="722"/>
      <c r="L4" s="722"/>
      <c r="M4" s="208" t="s">
        <v>758</v>
      </c>
      <c r="N4" s="212"/>
      <c r="P4" s="186"/>
      <c r="Q4" s="186"/>
      <c r="R4" s="186"/>
      <c r="U4" s="484"/>
      <c r="V4" s="186"/>
      <c r="W4" s="186"/>
      <c r="X4" s="186"/>
      <c r="Y4" s="186"/>
      <c r="AD4" s="483"/>
      <c r="AE4" s="485"/>
    </row>
    <row r="5" spans="1:31" ht="12.75" customHeight="1" x14ac:dyDescent="0.2">
      <c r="B5" s="681" t="str">
        <f>Import.Proponente</f>
        <v>Município de Ivorá</v>
      </c>
      <c r="C5" s="681"/>
      <c r="D5" s="681"/>
      <c r="G5" s="720" t="str">
        <f>Import.CR</f>
        <v>984561-2025</v>
      </c>
      <c r="H5" s="720"/>
      <c r="I5" s="720"/>
      <c r="J5" s="720" t="str">
        <f>Import.SICONV</f>
        <v>984561</v>
      </c>
      <c r="K5" s="720"/>
      <c r="L5" s="720"/>
      <c r="M5" s="733" t="str">
        <f>Import.Apelido</f>
        <v>Pavimentação Rua Padre Pedro Marcelino Copetti</v>
      </c>
      <c r="N5" s="734"/>
      <c r="O5" s="734"/>
      <c r="P5" s="734"/>
      <c r="Q5" s="734"/>
      <c r="R5" s="734"/>
      <c r="S5" s="734"/>
      <c r="T5" s="734"/>
      <c r="U5" s="734"/>
      <c r="V5" s="734"/>
      <c r="W5" s="734"/>
      <c r="X5" s="734"/>
      <c r="Y5" s="734"/>
      <c r="Z5" s="734"/>
      <c r="AA5" s="734"/>
      <c r="AB5" s="734"/>
      <c r="AC5" s="734"/>
      <c r="AD5" s="734"/>
      <c r="AE5" s="755"/>
    </row>
    <row r="6" spans="1:31" ht="14.25" customHeight="1" x14ac:dyDescent="0.25">
      <c r="B6" s="249" t="str" cm="1">
        <f t="array" aca="1" ref="B6" ca="1">IF(ACOMPANHAMENTO="BM","NO ACOMPANHAMENTO POR BM, UTILIZE A ABA CRONO",
  IF(MAX($B$14:$B$65)&lt;MAX(CÁLCULO!$M$15:$M$44),"ERRO: NÚMERO DE EVENTOS INSUFICIENTE, CLIQUE EM ATUALIZAR LINHAS",
  IF(ROUND(OFFSET(CRONO!$AG$174,0,-1),2)&lt;&gt;CRONO!$R$165,"ERRO: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7</v>
      </c>
      <c r="B8" s="729" t="s">
        <v>1030</v>
      </c>
      <c r="C8" s="730"/>
      <c r="D8" s="571" t="str">
        <f ca="1">IF($B$7="","",IF(AND($B$15=0,$B$8=""),"◄ Não foi indicado o Evento de Administração Local",IF(ISERROR(MATCH(Import.EventoAdmLocal,$F$15:$F$65,0)),"◄ Selecione um Título de Evento válido para a Administração Local","")))</f>
        <v>◄ Selecione um Título de Evento válido para a Administração Local</v>
      </c>
    </row>
    <row r="9" spans="1:31" ht="3.95" customHeight="1" x14ac:dyDescent="0.2">
      <c r="A9" s="548"/>
    </row>
    <row r="10" spans="1:31" ht="15" customHeight="1" x14ac:dyDescent="0.2">
      <c r="A10" s="548" t="e">
        <f ca="1">MATCH(VALUE(A8),CÁLCULO!$M$15:$M$44,0)-2</f>
        <v>#N/A</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Mês 1</v>
      </c>
      <c r="G11" s="252" t="str">
        <f ca="1">IF(G$12&gt;CÁLCULO.FrentesPreenchidas,"",OFFSET(CÁLCULO!$P$12,0,G$12))</f>
        <v>Mês 1</v>
      </c>
      <c r="H11" s="252" t="str">
        <f ca="1">IF(H$12&gt;CÁLCULO.FrentesPreenchidas,"",OFFSET(CÁLCULO!$P$12,0,H$12))</f>
        <v>Mês 2</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60" t="s">
        <v>760</v>
      </c>
      <c r="C12" s="760"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60"/>
      <c r="C13" s="760"/>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IF(AUTOEVENTO="Manual",IF(EVENTOS!$F15&gt;0,"F",""),IF(AND(B15&gt;0,B15&lt;=MAX(CÁLCULO!$M$15:$M$44)),"F",""))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IF(AUTOEVENTO="Manual",IF(EVENTOS!$F16&gt;0,"F",""),IF(AND(B16&gt;0,B16&lt;=MAX(CÁLCULO!$M$15:$M$44)),"F",""))</f>
        <v>F</v>
      </c>
      <c r="B16" s="247">
        <f t="shared" ref="B16:B64" ca="1" si="1">OFFSET(B16,-1,0)+1</f>
        <v>1</v>
      </c>
      <c r="C16" s="514" t="str">
        <f ca="1">IF(AUTOEVENTO="Manual",IF($B16&gt;0,OFFSET(EVENTOS!$D$15,$B16-$B$15,0),0),IF(B16&lt;=MAX(CÁLCULO!$M$15:$M$44),VLOOKUP($B16,CÁLCULO!$M$15:$N$44,2,FALSE),0))</f>
        <v>Serviços Preliminares</v>
      </c>
      <c r="D16" s="554"/>
      <c r="E16" s="248"/>
      <c r="F16" t="str">
        <f t="shared" ref="F16:F64" ca="1" si="2">IF($C16=0,"",CONCATENATE($B16,". ",$C16))</f>
        <v>1. Serviços Preliminares</v>
      </c>
      <c r="G16" s="553">
        <v>1</v>
      </c>
      <c r="H16" s="553">
        <v>2</v>
      </c>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IF(AUTOEVENTO="Manual",IF(EVENTOS!$F17&gt;0,"F",""),IF(AND(B17&gt;0,B17&lt;=MAX(CÁLCULO!$M$15:$M$44)),"F",""))</f>
        <v>F</v>
      </c>
      <c r="B17" s="247">
        <f t="shared" ca="1" si="1"/>
        <v>2</v>
      </c>
      <c r="C17" s="514" t="str">
        <f ca="1">IF(AUTOEVENTO="Manual",IF($B17&gt;0,OFFSET(EVENTOS!$D$15,$B17-$B$15,0),0),IF(B17&lt;=MAX(CÁLCULO!$M$15:$M$44),VLOOKUP($B17,CÁLCULO!$M$15:$N$44,2,FALSE),0))</f>
        <v>Administração Local</v>
      </c>
      <c r="D17" s="554"/>
      <c r="E17" s="248"/>
      <c r="F17" t="str">
        <f t="shared" ca="1" si="2"/>
        <v>2. Administração Local</v>
      </c>
      <c r="G17" s="553">
        <v>1</v>
      </c>
      <c r="H17" s="553">
        <v>2</v>
      </c>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IF(AUTOEVENTO="Manual",IF(EVENTOS!$F18&gt;0,"F",""),IF(AND(B18&gt;0,B18&lt;=MAX(CÁLCULO!$M$15:$M$44)),"F",""))</f>
        <v>F</v>
      </c>
      <c r="B18" s="247">
        <f t="shared" ca="1" si="1"/>
        <v>3</v>
      </c>
      <c r="C18" s="514" t="str">
        <f ca="1">IF(AUTOEVENTO="Manual",IF($B18&gt;0,OFFSET(EVENTOS!$D$15,$B18-$B$15,0),0),IF(B18&lt;=MAX(CÁLCULO!$M$15:$M$44),VLOOKUP($B18,CÁLCULO!$M$15:$N$44,2,FALSE),0))</f>
        <v>Terraplenagem</v>
      </c>
      <c r="D18" s="554"/>
      <c r="E18" s="248"/>
      <c r="F18" t="str">
        <f t="shared" ca="1" si="2"/>
        <v>3. Terraplenagem</v>
      </c>
      <c r="G18" s="553">
        <v>1</v>
      </c>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IF(AUTOEVENTO="Manual",IF(EVENTOS!$F19&gt;0,"F",""),IF(AND(B19&gt;0,B19&lt;=MAX(CÁLCULO!$M$15:$M$44)),"F",""))</f>
        <v>F</v>
      </c>
      <c r="B19" s="247">
        <f t="shared" ca="1" si="1"/>
        <v>4</v>
      </c>
      <c r="C19" s="514" t="str">
        <f ca="1">IF(AUTOEVENTO="Manual",IF($B19&gt;0,OFFSET(EVENTOS!$D$15,$B19-$B$15,0),0),IF(B19&lt;=MAX(CÁLCULO!$M$15:$M$44),VLOOKUP($B19,CÁLCULO!$M$15:$N$44,2,FALSE),0))</f>
        <v xml:space="preserve">Pavimentação </v>
      </c>
      <c r="D19" s="554"/>
      <c r="E19" s="248"/>
      <c r="F19" t="str">
        <f t="shared" ca="1" si="2"/>
        <v xml:space="preserve">4. Pavimentação </v>
      </c>
      <c r="G19" s="553">
        <v>1</v>
      </c>
      <c r="H19" s="553">
        <v>2</v>
      </c>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IF(AUTOEVENTO="Manual",IF(EVENTOS!$F20&gt;0,"F",""),IF(AND(B20&gt;0,B20&lt;=MAX(CÁLCULO!$M$15:$M$44)),"F",""))</f>
        <v>F</v>
      </c>
      <c r="B20" s="247">
        <f t="shared" ca="1" si="1"/>
        <v>5</v>
      </c>
      <c r="C20" s="514" t="str">
        <f ca="1">IF(AUTOEVENTO="Manual",IF($B20&gt;0,OFFSET(EVENTOS!$D$15,$B20-$B$15,0),0),IF(B20&lt;=MAX(CÁLCULO!$M$15:$M$44),VLOOKUP($B20,CÁLCULO!$M$15:$N$44,2,FALSE),0))</f>
        <v>Materiais Asfálticos BDI 15,00%</v>
      </c>
      <c r="D20" s="554"/>
      <c r="E20" s="248"/>
      <c r="F20" t="str">
        <f t="shared" ca="1" si="2"/>
        <v>5. Materiais Asfálticos BDI 15,00%</v>
      </c>
      <c r="G20" s="553">
        <v>1</v>
      </c>
      <c r="H20" s="553">
        <v>2</v>
      </c>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IF(AUTOEVENTO="Manual",IF(EVENTOS!$F21&gt;0,"F",""),IF(AND(B21&gt;0,B21&lt;=MAX(CÁLCULO!$M$15:$M$44)),"F",""))</f>
        <v>F</v>
      </c>
      <c r="B21" s="247">
        <f t="shared" ca="1" si="1"/>
        <v>6</v>
      </c>
      <c r="C21" s="514" t="str">
        <f ca="1">IF(AUTOEVENTO="Manual",IF($B21&gt;0,OFFSET(EVENTOS!$D$15,$B21-$B$15,0),0),IF(B21&lt;=MAX(CÁLCULO!$M$15:$M$44),VLOOKUP($B21,CÁLCULO!$M$15:$N$44,2,FALSE),0))</f>
        <v>Sinalização Viária</v>
      </c>
      <c r="D21" s="554"/>
      <c r="E21" s="248"/>
      <c r="F21" t="str">
        <f t="shared" ca="1" si="2"/>
        <v>6. Sinalização Viária</v>
      </c>
      <c r="G21" s="553">
        <v>1</v>
      </c>
      <c r="H21" s="553">
        <v>2</v>
      </c>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IF(AUTOEVENTO="Manual",IF(EVENTOS!$F22&gt;0,"F",""),IF(AND(B22&gt;0,B22&lt;=MAX(CÁLCULO!$M$15:$M$44)),"F",""))</f>
        <v/>
      </c>
      <c r="B22" s="247">
        <f t="shared" ca="1" si="1"/>
        <v>7</v>
      </c>
      <c r="C22" s="514">
        <f ca="1">IF(AUTOEVENTO="Manual",IF($B22&gt;0,OFFSET(EVENTOS!$D$15,$B22-$B$15,0),0),IF(B22&lt;=MAX(CÁLCULO!$M$15:$M$44),VLOOKUP($B22,CÁLCULO!$M$15:$N$44,2,FALSE),0))</f>
        <v>0</v>
      </c>
      <c r="D22" s="554"/>
      <c r="E22" s="248"/>
      <c r="F22" t="str">
        <f t="shared" ca="1" si="2"/>
        <v/>
      </c>
      <c r="G22" s="553"/>
      <c r="H22" s="553">
        <v>2</v>
      </c>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IF(AUTOEVENTO="Manual",IF(EVENTOS!$F23&gt;0,"F",""),IF(AND(B23&gt;0,B23&lt;=MAX(CÁLCULO!$M$15:$M$44)),"F",""))</f>
        <v/>
      </c>
      <c r="B23" s="247">
        <f t="shared" ca="1" si="1"/>
        <v>8</v>
      </c>
      <c r="C23" s="514">
        <f ca="1">IF(AUTOEVENTO="Manual",IF($B23&gt;0,OFFSET(EVENTOS!$D$15,$B23-$B$15,0),0),IF(B23&lt;=MAX(CÁLCULO!$M$15:$M$44),VLOOKUP($B23,CÁLCULO!$M$15:$N$44,2,FALSE),0))</f>
        <v>0</v>
      </c>
      <c r="D23" s="554"/>
      <c r="E23" s="248"/>
      <c r="F23" t="str">
        <f t="shared" ca="1" si="2"/>
        <v/>
      </c>
      <c r="G23" s="553"/>
      <c r="H23" s="553">
        <v>2</v>
      </c>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IF(AUTOEVENTO="Manual",IF(EVENTOS!$F24&gt;0,"F",""),IF(AND(B24&gt;0,B24&lt;=MAX(CÁLCULO!$M$15:$M$44)),"F",""))</f>
        <v/>
      </c>
      <c r="B24" s="247">
        <f t="shared" ca="1" si="1"/>
        <v>9</v>
      </c>
      <c r="C24" s="514">
        <f ca="1">IF(AUTOEVENTO="Manual",IF($B24&gt;0,OFFSET(EVENTOS!$D$15,$B24-$B$15,0),0),IF(B24&lt;=MAX(CÁLCULO!$M$15:$M$44),VLOOKUP($B24,CÁLCULO!$M$15:$N$44,2,FALSE),0))</f>
        <v>0</v>
      </c>
      <c r="D24" s="554"/>
      <c r="E24" s="248"/>
      <c r="F24" t="str">
        <f t="shared" ca="1" si="2"/>
        <v/>
      </c>
      <c r="G24" s="553"/>
      <c r="H24" s="553">
        <v>2</v>
      </c>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IF(AUTOEVENTO="Manual",IF(EVENTOS!$F25&gt;0,"F",""),IF(AND(B25&gt;0,B25&lt;=MAX(CÁLCULO!$M$15:$M$44)),"F",""))</f>
        <v/>
      </c>
      <c r="B25" s="247">
        <f t="shared" ca="1" si="1"/>
        <v>10</v>
      </c>
      <c r="C25" s="514">
        <f ca="1">IF(AUTOEVENTO="Manual",IF($B25&gt;0,OFFSET(EVENTOS!$D$15,$B25-$B$15,0),0),IF(B25&lt;=MAX(CÁLCULO!$M$15:$M$44),VLOOKUP($B25,CÁLCULO!$M$15:$N$44,2,FALSE),0))</f>
        <v>0</v>
      </c>
      <c r="D25" s="554"/>
      <c r="E25" s="248"/>
      <c r="F25" t="str">
        <f t="shared" ca="1" si="2"/>
        <v/>
      </c>
      <c r="G25" s="553">
        <v>1</v>
      </c>
      <c r="H25" s="553">
        <v>2</v>
      </c>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IF(AUTOEVENTO="Manual",IF(EVENTOS!$F26&gt;0,"F",""),IF(AND(B26&gt;0,B26&lt;=MAX(CÁLCULO!$M$15:$M$44)),"F",""))</f>
        <v/>
      </c>
      <c r="B26" s="247">
        <f t="shared" ca="1" si="1"/>
        <v>11</v>
      </c>
      <c r="C26" s="514">
        <f ca="1">IF(AUTOEVENTO="Manual",IF($B26&gt;0,OFFSET(EVENTOS!$D$15,$B26-$B$15,0),0),IF(B26&lt;=MAX(CÁLCULO!$M$15:$M$44),VLOOKUP($B26,CÁLCULO!$M$15:$N$44,2,FALSE),0))</f>
        <v>0</v>
      </c>
      <c r="D26" s="554"/>
      <c r="E26" s="248"/>
      <c r="F26" t="str">
        <f t="shared" ca="1" si="2"/>
        <v/>
      </c>
      <c r="G26" s="553">
        <v>1</v>
      </c>
      <c r="H26" s="553">
        <v>2</v>
      </c>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IF(AUTOEVENTO="Manual",IF(EVENTOS!$F27&gt;0,"F",""),IF(AND(B27&gt;0,B27&lt;=MAX(CÁLCULO!$M$15:$M$44)),"F",""))</f>
        <v/>
      </c>
      <c r="B27" s="247">
        <f t="shared" ca="1" si="1"/>
        <v>12</v>
      </c>
      <c r="C27" s="514">
        <f ca="1">IF(AUTOEVENTO="Manual",IF($B27&gt;0,OFFSET(EVENTOS!$D$15,$B27-$B$15,0),0),IF(B27&lt;=MAX(CÁLCULO!$M$15:$M$44),VLOOKUP($B27,CÁLCULO!$M$15:$N$44,2,FALSE),0))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IF(AUTOEVENTO="Manual",IF(EVENTOS!$F28&gt;0,"F",""),IF(AND(B28&gt;0,B28&lt;=MAX(CÁLCULO!$M$15:$M$44)),"F",""))</f>
        <v/>
      </c>
      <c r="B28" s="247">
        <f t="shared" ca="1" si="1"/>
        <v>13</v>
      </c>
      <c r="C28" s="514">
        <f ca="1">IF(AUTOEVENTO="Manual",IF($B28&gt;0,OFFSET(EVENTOS!$D$15,$B28-$B$15,0),0),IF(B28&lt;=MAX(CÁLCULO!$M$15:$M$44),VLOOKUP($B28,CÁLCULO!$M$15:$N$44,2,FALSE),0))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IF(AUTOEVENTO="Manual",IF(EVENTOS!$F29&gt;0,"F",""),IF(AND(B29&gt;0,B29&lt;=MAX(CÁLCULO!$M$15:$M$44)),"F",""))</f>
        <v/>
      </c>
      <c r="B29" s="247">
        <f t="shared" ca="1" si="1"/>
        <v>14</v>
      </c>
      <c r="C29" s="514">
        <f ca="1">IF(AUTOEVENTO="Manual",IF($B29&gt;0,OFFSET(EVENTOS!$D$15,$B29-$B$15,0),0),IF(B29&lt;=MAX(CÁLCULO!$M$15:$M$44),VLOOKUP($B29,CÁLCULO!$M$15:$N$44,2,FALSE),0))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IF(AUTOEVENTO="Manual",IF(EVENTOS!$F30&gt;0,"F",""),IF(AND(B30&gt;0,B30&lt;=MAX(CÁLCULO!$M$15:$M$44)),"F",""))</f>
        <v/>
      </c>
      <c r="B30" s="247">
        <f t="shared" ca="1" si="1"/>
        <v>15</v>
      </c>
      <c r="C30" s="514">
        <f ca="1">IF(AUTOEVENTO="Manual",IF($B30&gt;0,OFFSET(EVENTOS!$D$15,$B30-$B$15,0),0),IF(B30&lt;=MAX(CÁLCULO!$M$15:$M$44),VLOOKUP($B30,CÁLCULO!$M$15:$N$44,2,FALSE),0))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IF(AUTOEVENTO="Manual",IF(EVENTOS!$F31&gt;0,"F",""),IF(AND(B31&gt;0,B31&lt;=MAX(CÁLCULO!$M$15:$M$44)),"F",""))</f>
        <v/>
      </c>
      <c r="B31" s="247">
        <f t="shared" ca="1" si="1"/>
        <v>16</v>
      </c>
      <c r="C31" s="514">
        <f ca="1">IF(AUTOEVENTO="Manual",IF($B31&gt;0,OFFSET(EVENTOS!$D$15,$B31-$B$15,0),0),IF(B31&lt;=MAX(CÁLCULO!$M$15:$M$44),VLOOKUP($B31,CÁLCULO!$M$15:$N$44,2,FALSE),0))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IF(AUTOEVENTO="Manual",IF(EVENTOS!$F32&gt;0,"F",""),IF(AND(B32&gt;0,B32&lt;=MAX(CÁLCULO!$M$15:$M$44)),"F",""))</f>
        <v/>
      </c>
      <c r="B32" s="247">
        <f t="shared" ca="1" si="1"/>
        <v>17</v>
      </c>
      <c r="C32" s="514">
        <f ca="1">IF(AUTOEVENTO="Manual",IF($B32&gt;0,OFFSET(EVENTOS!$D$15,$B32-$B$15,0),0),IF(B32&lt;=MAX(CÁLCULO!$M$15:$M$44),VLOOKUP($B32,CÁLCULO!$M$15:$N$44,2,FALSE),0))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IF(AUTOEVENTO="Manual",IF(EVENTOS!$F33&gt;0,"F",""),IF(AND(B33&gt;0,B33&lt;=MAX(CÁLCULO!$M$15:$M$44)),"F",""))</f>
        <v/>
      </c>
      <c r="B33" s="247">
        <f t="shared" ca="1" si="1"/>
        <v>18</v>
      </c>
      <c r="C33" s="514">
        <f ca="1">IF(AUTOEVENTO="Manual",IF($B33&gt;0,OFFSET(EVENTOS!$D$15,$B33-$B$15,0),0),IF(B33&lt;=MAX(CÁLCULO!$M$15:$M$44),VLOOKUP($B33,CÁLCULO!$M$15:$N$44,2,FALSE),0))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IF(AUTOEVENTO="Manual",IF(EVENTOS!$F34&gt;0,"F",""),IF(AND(B34&gt;0,B34&lt;=MAX(CÁLCULO!$M$15:$M$44)),"F",""))</f>
        <v/>
      </c>
      <c r="B34" s="247">
        <f t="shared" ca="1" si="1"/>
        <v>19</v>
      </c>
      <c r="C34" s="514">
        <f ca="1">IF(AUTOEVENTO="Manual",IF($B34&gt;0,OFFSET(EVENTOS!$D$15,$B34-$B$15,0),0),IF(B34&lt;=MAX(CÁLCULO!$M$15:$M$44),VLOOKUP($B34,CÁLCULO!$M$15:$N$44,2,FALSE),0))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IF(AUTOEVENTO="Manual",IF(EVENTOS!$F35&gt;0,"F",""),IF(AND(B35&gt;0,B35&lt;=MAX(CÁLCULO!$M$15:$M$44)),"F",""))</f>
        <v/>
      </c>
      <c r="B35" s="247">
        <f t="shared" ca="1" si="1"/>
        <v>20</v>
      </c>
      <c r="C35" s="514">
        <f ca="1">IF(AUTOEVENTO="Manual",IF($B35&gt;0,OFFSET(EVENTOS!$D$15,$B35-$B$15,0),0),IF(B35&lt;=MAX(CÁLCULO!$M$15:$M$44),VLOOKUP($B35,CÁLCULO!$M$15:$N$44,2,FALSE),0))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IF(AUTOEVENTO="Manual",IF(EVENTOS!$F36&gt;0,"F",""),IF(AND(B36&gt;0,B36&lt;=MAX(CÁLCULO!$M$15:$M$44)),"F",""))</f>
        <v/>
      </c>
      <c r="B36" s="247">
        <f t="shared" ca="1" si="1"/>
        <v>21</v>
      </c>
      <c r="C36" s="514">
        <f ca="1">IF(AUTOEVENTO="Manual",IF($B36&gt;0,OFFSET(EVENTOS!$D$15,$B36-$B$15,0),0),IF(B36&lt;=MAX(CÁLCULO!$M$15:$M$44),VLOOKUP($B36,CÁLCULO!$M$15:$N$44,2,FALSE),0))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IF(AUTOEVENTO="Manual",IF(EVENTOS!$F37&gt;0,"F",""),IF(AND(B37&gt;0,B37&lt;=MAX(CÁLCULO!$M$15:$M$44)),"F",""))</f>
        <v/>
      </c>
      <c r="B37" s="247">
        <f t="shared" ca="1" si="1"/>
        <v>22</v>
      </c>
      <c r="C37" s="514">
        <f ca="1">IF(AUTOEVENTO="Manual",IF($B37&gt;0,OFFSET(EVENTOS!$D$15,$B37-$B$15,0),0),IF(B37&lt;=MAX(CÁLCULO!$M$15:$M$44),VLOOKUP($B37,CÁLCULO!$M$15:$N$44,2,FALSE),0))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IF(AUTOEVENTO="Manual",IF(EVENTOS!$F38&gt;0,"F",""),IF(AND(B38&gt;0,B38&lt;=MAX(CÁLCULO!$M$15:$M$44)),"F",""))</f>
        <v/>
      </c>
      <c r="B38" s="247">
        <f t="shared" ca="1" si="1"/>
        <v>23</v>
      </c>
      <c r="C38" s="514">
        <f ca="1">IF(AUTOEVENTO="Manual",IF($B38&gt;0,OFFSET(EVENTOS!$D$15,$B38-$B$15,0),0),IF(B38&lt;=MAX(CÁLCULO!$M$15:$M$44),VLOOKUP($B38,CÁLCULO!$M$15:$N$44,2,FALSE),0))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IF(AUTOEVENTO="Manual",IF(EVENTOS!$F39&gt;0,"F",""),IF(AND(B39&gt;0,B39&lt;=MAX(CÁLCULO!$M$15:$M$44)),"F",""))</f>
        <v/>
      </c>
      <c r="B39" s="247">
        <f t="shared" ca="1" si="1"/>
        <v>24</v>
      </c>
      <c r="C39" s="514">
        <f ca="1">IF(AUTOEVENTO="Manual",IF($B39&gt;0,OFFSET(EVENTOS!$D$15,$B39-$B$15,0),0),IF(B39&lt;=MAX(CÁLCULO!$M$15:$M$44),VLOOKUP($B39,CÁLCULO!$M$15:$N$44,2,FALSE),0))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IF(AUTOEVENTO="Manual",IF(EVENTOS!$F40&gt;0,"F",""),IF(AND(B40&gt;0,B40&lt;=MAX(CÁLCULO!$M$15:$M$44)),"F",""))</f>
        <v/>
      </c>
      <c r="B40" s="247">
        <f t="shared" ca="1" si="1"/>
        <v>25</v>
      </c>
      <c r="C40" s="514">
        <f ca="1">IF(AUTOEVENTO="Manual",IF($B40&gt;0,OFFSET(EVENTOS!$D$15,$B40-$B$15,0),0),IF(B40&lt;=MAX(CÁLCULO!$M$15:$M$44),VLOOKUP($B40,CÁLCULO!$M$15:$N$44,2,FALSE),0))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IF(AUTOEVENTO="Manual",IF(EVENTOS!$F41&gt;0,"F",""),IF(AND(B41&gt;0,B41&lt;=MAX(CÁLCULO!$M$15:$M$44)),"F",""))</f>
        <v/>
      </c>
      <c r="B41" s="247">
        <f t="shared" ca="1" si="1"/>
        <v>26</v>
      </c>
      <c r="C41" s="514">
        <f ca="1">IF(AUTOEVENTO="Manual",IF($B41&gt;0,OFFSET(EVENTOS!$D$15,$B41-$B$15,0),0),IF(B41&lt;=MAX(CÁLCULO!$M$15:$M$44),VLOOKUP($B41,CÁLCULO!$M$15:$N$44,2,FALSE),0))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IF(AUTOEVENTO="Manual",IF(EVENTOS!$F42&gt;0,"F",""),IF(AND(B42&gt;0,B42&lt;=MAX(CÁLCULO!$M$15:$M$44)),"F",""))</f>
        <v/>
      </c>
      <c r="B42" s="247">
        <f t="shared" ca="1" si="1"/>
        <v>27</v>
      </c>
      <c r="C42" s="514">
        <f ca="1">IF(AUTOEVENTO="Manual",IF($B42&gt;0,OFFSET(EVENTOS!$D$15,$B42-$B$15,0),0),IF(B42&lt;=MAX(CÁLCULO!$M$15:$M$44),VLOOKUP($B42,CÁLCULO!$M$15:$N$44,2,FALSE),0))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IF(AUTOEVENTO="Manual",IF(EVENTOS!$F43&gt;0,"F",""),IF(AND(B43&gt;0,B43&lt;=MAX(CÁLCULO!$M$15:$M$44)),"F",""))</f>
        <v/>
      </c>
      <c r="B43" s="247">
        <f t="shared" ca="1" si="1"/>
        <v>28</v>
      </c>
      <c r="C43" s="514">
        <f ca="1">IF(AUTOEVENTO="Manual",IF($B43&gt;0,OFFSET(EVENTOS!$D$15,$B43-$B$15,0),0),IF(B43&lt;=MAX(CÁLCULO!$M$15:$M$44),VLOOKUP($B43,CÁLCULO!$M$15:$N$44,2,FALSE),0))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IF(AUTOEVENTO="Manual",IF(EVENTOS!$F44&gt;0,"F",""),IF(AND(B44&gt;0,B44&lt;=MAX(CÁLCULO!$M$15:$M$44)),"F",""))</f>
        <v/>
      </c>
      <c r="B44" s="247">
        <f t="shared" ca="1" si="1"/>
        <v>29</v>
      </c>
      <c r="C44" s="514">
        <f ca="1">IF(AUTOEVENTO="Manual",IF($B44&gt;0,OFFSET(EVENTOS!$D$15,$B44-$B$15,0),0),IF(B44&lt;=MAX(CÁLCULO!$M$15:$M$44),VLOOKUP($B44,CÁLCULO!$M$15:$N$44,2,FALSE),0))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IF(AUTOEVENTO="Manual",IF(EVENTOS!$F45&gt;0,"F",""),IF(AND(B45&gt;0,B45&lt;=MAX(CÁLCULO!$M$15:$M$44)),"F",""))</f>
        <v/>
      </c>
      <c r="B45" s="247">
        <f t="shared" ca="1" si="1"/>
        <v>30</v>
      </c>
      <c r="C45" s="514">
        <f ca="1">IF(AUTOEVENTO="Manual",IF($B45&gt;0,OFFSET(EVENTOS!$D$15,$B45-$B$15,0),0),IF(B45&lt;=MAX(CÁLCULO!$M$15:$M$44),VLOOKUP($B45,CÁLCULO!$M$15:$N$44,2,FALSE),0))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IF(AUTOEVENTO="Manual",IF(EVENTOS!$F46&gt;0,"F",""),IF(AND(B46&gt;0,B46&lt;=MAX(CÁLCULO!$M$15:$M$44)),"F",""))</f>
        <v/>
      </c>
      <c r="B46" s="247">
        <f t="shared" ca="1" si="1"/>
        <v>31</v>
      </c>
      <c r="C46" s="514">
        <f ca="1">IF(AUTOEVENTO="Manual",IF($B46&gt;0,OFFSET(EVENTOS!$D$15,$B46-$B$15,0),0),IF(B46&lt;=MAX(CÁLCULO!$M$15:$M$44),VLOOKUP($B46,CÁLCULO!$M$15:$N$44,2,FALSE),0))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IF(AUTOEVENTO="Manual",IF(EVENTOS!$F47&gt;0,"F",""),IF(AND(B47&gt;0,B47&lt;=MAX(CÁLCULO!$M$15:$M$44)),"F",""))</f>
        <v/>
      </c>
      <c r="B47" s="247">
        <f t="shared" ca="1" si="1"/>
        <v>32</v>
      </c>
      <c r="C47" s="514">
        <f ca="1">IF(AUTOEVENTO="Manual",IF($B47&gt;0,OFFSET(EVENTOS!$D$15,$B47-$B$15,0),0),IF(B47&lt;=MAX(CÁLCULO!$M$15:$M$44),VLOOKUP($B47,CÁLCULO!$M$15:$N$44,2,FALSE),0))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IF(AUTOEVENTO="Manual",IF(EVENTOS!$F48&gt;0,"F",""),IF(AND(B48&gt;0,B48&lt;=MAX(CÁLCULO!$M$15:$M$44)),"F",""))</f>
        <v/>
      </c>
      <c r="B48" s="247">
        <f t="shared" ca="1" si="1"/>
        <v>33</v>
      </c>
      <c r="C48" s="514">
        <f ca="1">IF(AUTOEVENTO="Manual",IF($B48&gt;0,OFFSET(EVENTOS!$D$15,$B48-$B$15,0),0),IF(B48&lt;=MAX(CÁLCULO!$M$15:$M$44),VLOOKUP($B48,CÁLCULO!$M$15:$N$44,2,FALSE),0))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IF(AUTOEVENTO="Manual",IF(EVENTOS!$F49&gt;0,"F",""),IF(AND(B49&gt;0,B49&lt;=MAX(CÁLCULO!$M$15:$M$44)),"F",""))</f>
        <v/>
      </c>
      <c r="B49" s="247">
        <f t="shared" ca="1" si="1"/>
        <v>34</v>
      </c>
      <c r="C49" s="514">
        <f ca="1">IF(AUTOEVENTO="Manual",IF($B49&gt;0,OFFSET(EVENTOS!$D$15,$B49-$B$15,0),0),IF(B49&lt;=MAX(CÁLCULO!$M$15:$M$44),VLOOKUP($B49,CÁLCULO!$M$15:$N$44,2,FALSE),0))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IF(AUTOEVENTO="Manual",IF(EVENTOS!$F50&gt;0,"F",""),IF(AND(B50&gt;0,B50&lt;=MAX(CÁLCULO!$M$15:$M$44)),"F",""))</f>
        <v/>
      </c>
      <c r="B50" s="247">
        <f t="shared" ca="1" si="1"/>
        <v>35</v>
      </c>
      <c r="C50" s="514">
        <f ca="1">IF(AUTOEVENTO="Manual",IF($B50&gt;0,OFFSET(EVENTOS!$D$15,$B50-$B$15,0),0),IF(B50&lt;=MAX(CÁLCULO!$M$15:$M$44),VLOOKUP($B50,CÁLCULO!$M$15:$N$44,2,FALSE),0))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IF(AUTOEVENTO="Manual",IF(EVENTOS!$F51&gt;0,"F",""),IF(AND(B51&gt;0,B51&lt;=MAX(CÁLCULO!$M$15:$M$44)),"F",""))</f>
        <v/>
      </c>
      <c r="B51" s="247">
        <f t="shared" ca="1" si="1"/>
        <v>36</v>
      </c>
      <c r="C51" s="514">
        <f ca="1">IF(AUTOEVENTO="Manual",IF($B51&gt;0,OFFSET(EVENTOS!$D$15,$B51-$B$15,0),0),IF(B51&lt;=MAX(CÁLCULO!$M$15:$M$44),VLOOKUP($B51,CÁLCULO!$M$15:$N$44,2,FALSE),0))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IF(AUTOEVENTO="Manual",IF(EVENTOS!$F52&gt;0,"F",""),IF(AND(B52&gt;0,B52&lt;=MAX(CÁLCULO!$M$15:$M$44)),"F",""))</f>
        <v/>
      </c>
      <c r="B52" s="247">
        <f t="shared" ca="1" si="1"/>
        <v>37</v>
      </c>
      <c r="C52" s="514">
        <f ca="1">IF(AUTOEVENTO="Manual",IF($B52&gt;0,OFFSET(EVENTOS!$D$15,$B52-$B$15,0),0),IF(B52&lt;=MAX(CÁLCULO!$M$15:$M$44),VLOOKUP($B52,CÁLCULO!$M$15:$N$44,2,FALSE),0))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IF(AUTOEVENTO="Manual",IF(EVENTOS!$F53&gt;0,"F",""),IF(AND(B53&gt;0,B53&lt;=MAX(CÁLCULO!$M$15:$M$44)),"F",""))</f>
        <v/>
      </c>
      <c r="B53" s="247">
        <f t="shared" ca="1" si="1"/>
        <v>38</v>
      </c>
      <c r="C53" s="514">
        <f ca="1">IF(AUTOEVENTO="Manual",IF($B53&gt;0,OFFSET(EVENTOS!$D$15,$B53-$B$15,0),0),IF(B53&lt;=MAX(CÁLCULO!$M$15:$M$44),VLOOKUP($B53,CÁLCULO!$M$15:$N$44,2,FALSE),0))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IF(AUTOEVENTO="Manual",IF(EVENTOS!$F54&gt;0,"F",""),IF(AND(B54&gt;0,B54&lt;=MAX(CÁLCULO!$M$15:$M$44)),"F",""))</f>
        <v/>
      </c>
      <c r="B54" s="247">
        <f t="shared" ca="1" si="1"/>
        <v>39</v>
      </c>
      <c r="C54" s="514">
        <f ca="1">IF(AUTOEVENTO="Manual",IF($B54&gt;0,OFFSET(EVENTOS!$D$15,$B54-$B$15,0),0),IF(B54&lt;=MAX(CÁLCULO!$M$15:$M$44),VLOOKUP($B54,CÁLCULO!$M$15:$N$44,2,FALSE),0))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IF(AUTOEVENTO="Manual",IF(EVENTOS!$F55&gt;0,"F",""),IF(AND(B55&gt;0,B55&lt;=MAX(CÁLCULO!$M$15:$M$44)),"F",""))</f>
        <v/>
      </c>
      <c r="B55" s="247">
        <f t="shared" ca="1" si="1"/>
        <v>40</v>
      </c>
      <c r="C55" s="514">
        <f ca="1">IF(AUTOEVENTO="Manual",IF($B55&gt;0,OFFSET(EVENTOS!$D$15,$B55-$B$15,0),0),IF(B55&lt;=MAX(CÁLCULO!$M$15:$M$44),VLOOKUP($B55,CÁLCULO!$M$15:$N$44,2,FALSE),0))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IF(AUTOEVENTO="Manual",IF(EVENTOS!$F56&gt;0,"F",""),IF(AND(B56&gt;0,B56&lt;=MAX(CÁLCULO!$M$15:$M$44)),"F",""))</f>
        <v/>
      </c>
      <c r="B56" s="247">
        <f t="shared" ca="1" si="1"/>
        <v>41</v>
      </c>
      <c r="C56" s="514">
        <f ca="1">IF(AUTOEVENTO="Manual",IF($B56&gt;0,OFFSET(EVENTOS!$D$15,$B56-$B$15,0),0),IF(B56&lt;=MAX(CÁLCULO!$M$15:$M$44),VLOOKUP($B56,CÁLCULO!$M$15:$N$44,2,FALSE),0))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IF(AUTOEVENTO="Manual",IF(EVENTOS!$F57&gt;0,"F",""),IF(AND(B57&gt;0,B57&lt;=MAX(CÁLCULO!$M$15:$M$44)),"F",""))</f>
        <v/>
      </c>
      <c r="B57" s="247">
        <f t="shared" ca="1" si="1"/>
        <v>42</v>
      </c>
      <c r="C57" s="514">
        <f ca="1">IF(AUTOEVENTO="Manual",IF($B57&gt;0,OFFSET(EVENTOS!$D$15,$B57-$B$15,0),0),IF(B57&lt;=MAX(CÁLCULO!$M$15:$M$44),VLOOKUP($B57,CÁLCULO!$M$15:$N$44,2,FALSE),0))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IF(AUTOEVENTO="Manual",IF(EVENTOS!$F58&gt;0,"F",""),IF(AND(B58&gt;0,B58&lt;=MAX(CÁLCULO!$M$15:$M$44)),"F",""))</f>
        <v/>
      </c>
      <c r="B58" s="247">
        <f t="shared" ca="1" si="1"/>
        <v>43</v>
      </c>
      <c r="C58" s="514">
        <f ca="1">IF(AUTOEVENTO="Manual",IF($B58&gt;0,OFFSET(EVENTOS!$D$15,$B58-$B$15,0),0),IF(B58&lt;=MAX(CÁLCULO!$M$15:$M$44),VLOOKUP($B58,CÁLCULO!$M$15:$N$44,2,FALSE),0))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IF(AUTOEVENTO="Manual",IF(EVENTOS!$F59&gt;0,"F",""),IF(AND(B59&gt;0,B59&lt;=MAX(CÁLCULO!$M$15:$M$44)),"F",""))</f>
        <v/>
      </c>
      <c r="B59" s="247">
        <f t="shared" ca="1" si="1"/>
        <v>44</v>
      </c>
      <c r="C59" s="514">
        <f ca="1">IF(AUTOEVENTO="Manual",IF($B59&gt;0,OFFSET(EVENTOS!$D$15,$B59-$B$15,0),0),IF(B59&lt;=MAX(CÁLCULO!$M$15:$M$44),VLOOKUP($B59,CÁLCULO!$M$15:$N$44,2,FALSE),0))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IF(AUTOEVENTO="Manual",IF(EVENTOS!$F60&gt;0,"F",""),IF(AND(B60&gt;0,B60&lt;=MAX(CÁLCULO!$M$15:$M$44)),"F",""))</f>
        <v/>
      </c>
      <c r="B60" s="247">
        <f t="shared" ca="1" si="1"/>
        <v>45</v>
      </c>
      <c r="C60" s="514">
        <f ca="1">IF(AUTOEVENTO="Manual",IF($B60&gt;0,OFFSET(EVENTOS!$D$15,$B60-$B$15,0),0),IF(B60&lt;=MAX(CÁLCULO!$M$15:$M$44),VLOOKUP($B60,CÁLCULO!$M$15:$N$44,2,FALSE),0))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IF(AUTOEVENTO="Manual",IF(EVENTOS!$F61&gt;0,"F",""),IF(AND(B61&gt;0,B61&lt;=MAX(CÁLCULO!$M$15:$M$44)),"F",""))</f>
        <v/>
      </c>
      <c r="B61" s="247">
        <f t="shared" ca="1" si="1"/>
        <v>46</v>
      </c>
      <c r="C61" s="514">
        <f ca="1">IF(AUTOEVENTO="Manual",IF($B61&gt;0,OFFSET(EVENTOS!$D$15,$B61-$B$15,0),0),IF(B61&lt;=MAX(CÁLCULO!$M$15:$M$44),VLOOKUP($B61,CÁLCULO!$M$15:$N$44,2,FALSE),0))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IF(AUTOEVENTO="Manual",IF(EVENTOS!$F62&gt;0,"F",""),IF(AND(B62&gt;0,B62&lt;=MAX(CÁLCULO!$M$15:$M$44)),"F",""))</f>
        <v/>
      </c>
      <c r="B62" s="247">
        <f t="shared" ca="1" si="1"/>
        <v>47</v>
      </c>
      <c r="C62" s="514">
        <f ca="1">IF(AUTOEVENTO="Manual",IF($B62&gt;0,OFFSET(EVENTOS!$D$15,$B62-$B$15,0),0),IF(B62&lt;=MAX(CÁLCULO!$M$15:$M$44),VLOOKUP($B62,CÁLCULO!$M$15:$N$44,2,FALSE),0))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IF(AUTOEVENTO="Manual",IF(EVENTOS!$F63&gt;0,"F",""),IF(AND(B63&gt;0,B63&lt;=MAX(CÁLCULO!$M$15:$M$44)),"F",""))</f>
        <v/>
      </c>
      <c r="B63" s="247">
        <f t="shared" ca="1" si="1"/>
        <v>48</v>
      </c>
      <c r="C63" s="514">
        <f ca="1">IF(AUTOEVENTO="Manual",IF($B63&gt;0,OFFSET(EVENTOS!$D$15,$B63-$B$15,0),0),IF(B63&lt;=MAX(CÁLCULO!$M$15:$M$44),VLOOKUP($B63,CÁLCULO!$M$15:$N$44,2,FALSE),0))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IF(AUTOEVENTO="Manual",IF(EVENTOS!$F64&gt;0,"F",""),IF(AND(B64&gt;0,B64&lt;=MAX(CÁLCULO!$M$15:$M$44)),"F",""))</f>
        <v/>
      </c>
      <c r="B64" s="247">
        <f t="shared" ca="1" si="1"/>
        <v>49</v>
      </c>
      <c r="C64" s="514">
        <f ca="1">IF(AUTOEVENTO="Manual",IF($B64&gt;0,OFFSET(EVENTOS!$D$15,$B64-$B$15,0),0),IF(B64&lt;=MAX(CÁLCULO!$M$15:$M$44),VLOOKUP($B64,CÁLCULO!$M$15:$N$44,2,FALSE),0))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9">
        <f>(ROW($G67)-ROW($G$67))/8*12+1</f>
        <v>1</v>
      </c>
      <c r="I67" s="759"/>
      <c r="J67" s="759">
        <f>H67+1</f>
        <v>2</v>
      </c>
      <c r="K67" s="759"/>
      <c r="L67" s="759">
        <f>J67+1</f>
        <v>3</v>
      </c>
      <c r="M67" s="759"/>
      <c r="N67" s="759">
        <f>L67+1</f>
        <v>4</v>
      </c>
      <c r="O67" s="759"/>
      <c r="P67" s="759">
        <f>N67+1</f>
        <v>5</v>
      </c>
      <c r="Q67" s="759"/>
      <c r="R67" s="759">
        <f>P67+1</f>
        <v>6</v>
      </c>
      <c r="S67" s="759"/>
      <c r="T67" s="759">
        <f>R67+1</f>
        <v>7</v>
      </c>
      <c r="U67" s="759"/>
      <c r="V67" s="759">
        <f>T67+1</f>
        <v>8</v>
      </c>
      <c r="W67" s="759"/>
      <c r="X67" s="759">
        <f>V67+1</f>
        <v>9</v>
      </c>
      <c r="Y67" s="759"/>
      <c r="Z67" s="759">
        <f>X67+1</f>
        <v>10</v>
      </c>
      <c r="AA67" s="759"/>
      <c r="AB67" s="759">
        <f>Z67+1</f>
        <v>11</v>
      </c>
      <c r="AC67" s="759"/>
      <c r="AD67" s="759">
        <f>AB67+1</f>
        <v>12</v>
      </c>
      <c r="AE67" s="759"/>
    </row>
    <row r="68" spans="1:31" ht="12.75" customHeight="1" x14ac:dyDescent="0.2">
      <c r="A68" s="7" t="s">
        <v>536</v>
      </c>
      <c r="C68" s="756" t="s">
        <v>780</v>
      </c>
      <c r="G68" s="551" t="s">
        <v>781</v>
      </c>
      <c r="H68" s="745">
        <f ca="1">OFFSET(CRONO!$T$165,0,CRONOPLE!H67)</f>
        <v>0.6227902760567875</v>
      </c>
      <c r="I68" s="745"/>
      <c r="J68" s="745">
        <f ca="1">OFFSET(CRONO!$T$165,0,CRONOPLE!J67)</f>
        <v>0.37720972394321262</v>
      </c>
      <c r="K68" s="745"/>
      <c r="L68" s="745">
        <f ca="1">OFFSET(CRONO!$T$165,0,CRONOPLE!L67)</f>
        <v>0</v>
      </c>
      <c r="M68" s="745"/>
      <c r="N68" s="745">
        <f ca="1">OFFSET(CRONO!$T$165,0,CRONOPLE!N67)</f>
        <v>0</v>
      </c>
      <c r="O68" s="745"/>
      <c r="P68" s="745">
        <f ca="1">OFFSET(CRONO!$T$165,0,CRONOPLE!P67)</f>
        <v>0</v>
      </c>
      <c r="Q68" s="745"/>
      <c r="R68" s="745">
        <f ca="1">OFFSET(CRONO!$T$165,0,CRONOPLE!R67)</f>
        <v>0</v>
      </c>
      <c r="S68" s="745"/>
      <c r="T68" s="745">
        <f ca="1">OFFSET(CRONO!$T$165,0,CRONOPLE!T67)</f>
        <v>0</v>
      </c>
      <c r="U68" s="745"/>
      <c r="V68" s="745">
        <f ca="1">OFFSET(CRONO!$T$165,0,CRONOPLE!V67)</f>
        <v>0</v>
      </c>
      <c r="W68" s="745"/>
      <c r="X68" s="745">
        <f ca="1">OFFSET(CRONO!$T$165,0,CRONOPLE!X67)</f>
        <v>0</v>
      </c>
      <c r="Y68" s="745"/>
      <c r="Z68" s="745">
        <f ca="1">OFFSET(CRONO!$T$165,0,CRONOPLE!Z67)</f>
        <v>0</v>
      </c>
      <c r="AA68" s="745"/>
      <c r="AB68" s="745">
        <f ca="1">OFFSET(CRONO!$T$165,0,CRONOPLE!AB67)</f>
        <v>0</v>
      </c>
      <c r="AC68" s="745"/>
      <c r="AD68" s="745">
        <f ca="1">OFFSET(CRONO!$T$165,0,CRONOPLE!AD67)</f>
        <v>0</v>
      </c>
      <c r="AE68" s="745"/>
    </row>
    <row r="69" spans="1:31" ht="12.75" customHeight="1" x14ac:dyDescent="0.2">
      <c r="A69" s="7" t="s">
        <v>536</v>
      </c>
      <c r="C69" s="757"/>
      <c r="G69" s="487" t="s">
        <v>782</v>
      </c>
      <c r="H69" s="758">
        <f ca="1">OFFSET(CRONO!$T$169,0,CRONOPLE!H67)</f>
        <v>264367.69</v>
      </c>
      <c r="I69" s="758"/>
      <c r="J69" s="743">
        <f ca="1">OFFSET(CRONO!$T$169,0,CRONOPLE!J67)</f>
        <v>160121.41999999998</v>
      </c>
      <c r="K69" s="744"/>
      <c r="L69" s="743">
        <f ca="1">OFFSET(CRONO!$T$169,0,CRONOPLE!L67)</f>
        <v>0</v>
      </c>
      <c r="M69" s="744"/>
      <c r="N69" s="743">
        <f ca="1">OFFSET(CRONO!$T$169,0,CRONOPLE!N67)</f>
        <v>0</v>
      </c>
      <c r="O69" s="744"/>
      <c r="P69" s="743">
        <f ca="1">OFFSET(CRONO!$T$169,0,CRONOPLE!P67)</f>
        <v>0</v>
      </c>
      <c r="Q69" s="744"/>
      <c r="R69" s="743">
        <f ca="1">OFFSET(CRONO!$T$169,0,CRONOPLE!R67)</f>
        <v>0</v>
      </c>
      <c r="S69" s="744"/>
      <c r="T69" s="743">
        <f ca="1">OFFSET(CRONO!$T$169,0,CRONOPLE!T67)</f>
        <v>0</v>
      </c>
      <c r="U69" s="744"/>
      <c r="V69" s="743">
        <f ca="1">OFFSET(CRONO!$T$169,0,CRONOPLE!V67)</f>
        <v>0</v>
      </c>
      <c r="W69" s="744"/>
      <c r="X69" s="743">
        <f ca="1">OFFSET(CRONO!$T$169,0,CRONOPLE!X67)</f>
        <v>0</v>
      </c>
      <c r="Y69" s="744"/>
      <c r="Z69" s="743">
        <f ca="1">OFFSET(CRONO!$T$169,0,CRONOPLE!Z67)</f>
        <v>0</v>
      </c>
      <c r="AA69" s="744"/>
      <c r="AB69" s="743">
        <f ca="1">OFFSET(CRONO!$T$169,0,CRONOPLE!AB67)</f>
        <v>0</v>
      </c>
      <c r="AC69" s="744"/>
      <c r="AD69" s="743">
        <f ca="1">OFFSET(CRONO!$T$169,0,CRONOPLE!AD67)</f>
        <v>0</v>
      </c>
      <c r="AE69" s="744"/>
    </row>
    <row r="70" spans="1:31" ht="12.75" customHeight="1" x14ac:dyDescent="0.2">
      <c r="A70" s="7" t="s">
        <v>536</v>
      </c>
      <c r="C70" s="756" t="s">
        <v>783</v>
      </c>
      <c r="G70" s="551" t="s">
        <v>781</v>
      </c>
      <c r="H70" s="745">
        <f ca="1">OFFSET(CRONO!$T$170,0,CRONOPLE!H67)</f>
        <v>0.62280000000000002</v>
      </c>
      <c r="I70" s="745"/>
      <c r="J70" s="748">
        <f ca="1">OFFSET(CRONO!$T$170,0,CRONOPLE!J67)</f>
        <v>1</v>
      </c>
      <c r="K70" s="749"/>
      <c r="L70" s="748">
        <f ca="1">OFFSET(CRONO!$T$170,0,CRONOPLE!L67)</f>
        <v>1</v>
      </c>
      <c r="M70" s="749"/>
      <c r="N70" s="748">
        <f ca="1">OFFSET(CRONO!$T$170,0,CRONOPLE!N67)</f>
        <v>1</v>
      </c>
      <c r="O70" s="749"/>
      <c r="P70" s="748">
        <f ca="1">OFFSET(CRONO!$T$170,0,CRONOPLE!P67)</f>
        <v>1</v>
      </c>
      <c r="Q70" s="749"/>
      <c r="R70" s="748">
        <f ca="1">OFFSET(CRONO!$T$170,0,CRONOPLE!R67)</f>
        <v>1</v>
      </c>
      <c r="S70" s="749"/>
      <c r="T70" s="748">
        <f ca="1">OFFSET(CRONO!$T$170,0,CRONOPLE!T67)</f>
        <v>1</v>
      </c>
      <c r="U70" s="749"/>
      <c r="V70" s="748">
        <f ca="1">OFFSET(CRONO!$T$170,0,CRONOPLE!V67)</f>
        <v>1</v>
      </c>
      <c r="W70" s="749"/>
      <c r="X70" s="748">
        <f ca="1">OFFSET(CRONO!$T$170,0,CRONOPLE!X67)</f>
        <v>1</v>
      </c>
      <c r="Y70" s="749"/>
      <c r="Z70" s="748">
        <f ca="1">OFFSET(CRONO!$T$170,0,CRONOPLE!Z67)</f>
        <v>1</v>
      </c>
      <c r="AA70" s="749"/>
      <c r="AB70" s="748">
        <f ca="1">OFFSET(CRONO!$T$170,0,CRONOPLE!AB67)</f>
        <v>1</v>
      </c>
      <c r="AC70" s="749"/>
      <c r="AD70" s="748">
        <f ca="1">OFFSET(CRONO!$T$170,0,CRONOPLE!AD67)</f>
        <v>1</v>
      </c>
      <c r="AE70" s="749"/>
    </row>
    <row r="71" spans="1:31" ht="12.75" customHeight="1" x14ac:dyDescent="0.2">
      <c r="A71" s="7" t="s">
        <v>536</v>
      </c>
      <c r="C71" s="762"/>
      <c r="G71" s="487" t="s">
        <v>782</v>
      </c>
      <c r="H71" s="761">
        <f ca="1">OFFSET(CRONO!$T$174,0,CRONOPLE!H67)</f>
        <v>264367.69</v>
      </c>
      <c r="I71" s="761"/>
      <c r="J71" s="750">
        <f ca="1">OFFSET(CRONO!$T$174,0,CRONOPLE!J67)</f>
        <v>424489.11</v>
      </c>
      <c r="K71" s="751"/>
      <c r="L71" s="750">
        <f ca="1">OFFSET(CRONO!$T$174,0,CRONOPLE!L67)</f>
        <v>424489.11</v>
      </c>
      <c r="M71" s="751"/>
      <c r="N71" s="750">
        <f ca="1">OFFSET(CRONO!$T$174,0,CRONOPLE!N67)</f>
        <v>424489.11</v>
      </c>
      <c r="O71" s="751"/>
      <c r="P71" s="750">
        <f ca="1">OFFSET(CRONO!$T$174,0,CRONOPLE!P67)</f>
        <v>424489.11</v>
      </c>
      <c r="Q71" s="751"/>
      <c r="R71" s="750">
        <f ca="1">OFFSET(CRONO!$T$174,0,CRONOPLE!R67)</f>
        <v>424489.11</v>
      </c>
      <c r="S71" s="751"/>
      <c r="T71" s="750">
        <f ca="1">OFFSET(CRONO!$T$174,0,CRONOPLE!T67)</f>
        <v>424489.11</v>
      </c>
      <c r="U71" s="751"/>
      <c r="V71" s="750">
        <f ca="1">OFFSET(CRONO!$T$174,0,CRONOPLE!V67)</f>
        <v>424489.11</v>
      </c>
      <c r="W71" s="751"/>
      <c r="X71" s="750">
        <f ca="1">OFFSET(CRONO!$T$174,0,CRONOPLE!X67)</f>
        <v>424489.11</v>
      </c>
      <c r="Y71" s="751"/>
      <c r="Z71" s="750">
        <f ca="1">OFFSET(CRONO!$T$174,0,CRONOPLE!Z67)</f>
        <v>424489.11</v>
      </c>
      <c r="AA71" s="751"/>
      <c r="AB71" s="750">
        <f ca="1">OFFSET(CRONO!$T$174,0,CRONOPLE!AB67)</f>
        <v>424489.11</v>
      </c>
      <c r="AC71" s="751"/>
      <c r="AD71" s="750">
        <f ca="1">OFFSET(CRONO!$T$174,0,CRONOPLE!AD67)</f>
        <v>424489.11</v>
      </c>
      <c r="AE71" s="751"/>
    </row>
    <row r="72" spans="1:31" ht="12.75" customHeight="1" x14ac:dyDescent="0.2">
      <c r="A72" s="7" t="s">
        <v>536</v>
      </c>
      <c r="C72" s="552" t="s">
        <v>784</v>
      </c>
      <c r="D72" s="550"/>
      <c r="G72" s="551" t="s">
        <v>781</v>
      </c>
      <c r="H72" s="745" t="str">
        <f ca="1">OFFSET(CRONO!$T$175,0,CRONOPLE!H67)</f>
        <v/>
      </c>
      <c r="I72" s="745"/>
      <c r="J72" s="746" t="str">
        <f ca="1">OFFSET(CRONO!$T$175,0,CRONOPLE!J67)</f>
        <v/>
      </c>
      <c r="K72" s="747"/>
      <c r="L72" s="746" t="str">
        <f ca="1">OFFSET(CRONO!$T$175,0,CRONOPLE!L67)</f>
        <v/>
      </c>
      <c r="M72" s="747"/>
      <c r="N72" s="746" t="str">
        <f ca="1">OFFSET(CRONO!$T$175,0,CRONOPLE!N67)</f>
        <v/>
      </c>
      <c r="O72" s="747"/>
      <c r="P72" s="746" t="str">
        <f ca="1">OFFSET(CRONO!$T$175,0,CRONOPLE!P67)</f>
        <v/>
      </c>
      <c r="Q72" s="747"/>
      <c r="R72" s="746" t="str">
        <f ca="1">OFFSET(CRONO!$T$175,0,CRONOPLE!R67)</f>
        <v/>
      </c>
      <c r="S72" s="747"/>
      <c r="T72" s="746" t="str">
        <f ca="1">OFFSET(CRONO!$T$175,0,CRONOPLE!T67)</f>
        <v/>
      </c>
      <c r="U72" s="747"/>
      <c r="V72" s="746" t="str">
        <f ca="1">OFFSET(CRONO!$T$175,0,CRONOPLE!V67)</f>
        <v/>
      </c>
      <c r="W72" s="747"/>
      <c r="X72" s="746" t="str">
        <f ca="1">OFFSET(CRONO!$T$175,0,CRONOPLE!X67)</f>
        <v/>
      </c>
      <c r="Y72" s="747"/>
      <c r="Z72" s="746" t="str">
        <f ca="1">OFFSET(CRONO!$T$175,0,CRONOPLE!Z67)</f>
        <v/>
      </c>
      <c r="AA72" s="747"/>
      <c r="AB72" s="746" t="str">
        <f ca="1">OFFSET(CRONO!$T$175,0,CRONOPLE!AB67)</f>
        <v/>
      </c>
      <c r="AC72" s="747"/>
      <c r="AD72" s="746" t="str">
        <f ca="1">OFFSET(CRONO!$T$175,0,CRONOPLE!AD67)</f>
        <v/>
      </c>
      <c r="AE72" s="747"/>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Ivorá/RS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Vitor Camargo Costa</v>
      </c>
    </row>
    <row r="78" spans="1:31" ht="16.5" x14ac:dyDescent="0.3">
      <c r="A78" s="7" t="s">
        <v>536</v>
      </c>
      <c r="B78" s="763">
        <f>DADOS!$C$25</f>
        <v>46169</v>
      </c>
      <c r="C78" s="763"/>
      <c r="F78" s="185"/>
      <c r="G78" s="185"/>
      <c r="H78" s="185"/>
      <c r="I78" s="185"/>
      <c r="J78" s="185"/>
      <c r="K78" s="185"/>
      <c r="L78" s="187"/>
      <c r="V78" s="398" t="str">
        <f ca="1"/>
        <v>CREA/CAU: RS 203284</v>
      </c>
    </row>
    <row r="79" spans="1:31" x14ac:dyDescent="0.2">
      <c r="A79" s="7" t="s">
        <v>536</v>
      </c>
      <c r="B79" s="9" t="s">
        <v>694</v>
      </c>
      <c r="F79" s="185"/>
      <c r="G79" s="185"/>
      <c r="H79" s="185"/>
      <c r="I79" s="185"/>
      <c r="J79" s="185"/>
      <c r="K79" s="185"/>
      <c r="L79" s="187"/>
      <c r="V79" s="398" t="str">
        <f ca="1"/>
        <v>ART/RRT: 14443886</v>
      </c>
    </row>
  </sheetData>
  <sheetProtection algorithmName="SHA-512" hashValue="jQPQ3vpXMIHTk8hGrycFC+80ZLKZdCPz3yE8Sr1pDI4rwgNIXKyXOGzTr/1LvSAtM5jYfeIiLHn1bBdelPKcJQ==" saltValue="xsi9uixkrzS6GaTAe6n85g==" spinCount="100000" sheet="1" objects="1" scenarios="1" autoFilter="0"/>
  <autoFilter ref="A13:A79" xr:uid="{00000000-0001-0000-0800-000000000000}"/>
  <mergeCells count="86">
    <mergeCell ref="C70:C71"/>
    <mergeCell ref="H72:I72"/>
    <mergeCell ref="J72:K72"/>
    <mergeCell ref="X70:Y70"/>
    <mergeCell ref="B78:C78"/>
    <mergeCell ref="V71:W71"/>
    <mergeCell ref="X71:Y71"/>
    <mergeCell ref="L72:M72"/>
    <mergeCell ref="N72:O72"/>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377" priority="802" stopIfTrue="1">
      <formula>IF(OR(E$12&gt;CÁLCULO.NúmeroDeFrentes,ACOMPANHAMENTO="BM"),TRUE,CRONOPLE.ValorDoEvento=0)</formula>
    </cfRule>
  </conditionalFormatting>
  <conditionalFormatting sqref="U4:Y4">
    <cfRule type="expression" dxfId="376" priority="692" stopIfTrue="1">
      <formula>QCI.ExisteManual</formula>
    </cfRule>
  </conditionalFormatting>
  <conditionalFormatting sqref="J67:AE67">
    <cfRule type="expression" dxfId="375" priority="691" stopIfTrue="1">
      <formula>OFFSET(J67,3,-2)=1</formula>
    </cfRule>
  </conditionalFormatting>
  <conditionalFormatting sqref="J68:AE68">
    <cfRule type="expression" dxfId="374" priority="686" stopIfTrue="1">
      <formula>OFFSET(J68,2,-2)=1</formula>
    </cfRule>
  </conditionalFormatting>
  <conditionalFormatting sqref="J69:AE69">
    <cfRule type="expression" dxfId="373" priority="685" stopIfTrue="1">
      <formula>OFFSET(J69,1,-2)=1</formula>
    </cfRule>
  </conditionalFormatting>
  <conditionalFormatting sqref="J70:AE70">
    <cfRule type="expression" dxfId="372" priority="684" stopIfTrue="1">
      <formula>OFFSET(J70,0,-2)=1</formula>
    </cfRule>
  </conditionalFormatting>
  <conditionalFormatting sqref="J71:AE71">
    <cfRule type="expression" dxfId="371" priority="683" stopIfTrue="1">
      <formula>OFFSET(J71,-1,-2)=1</formula>
    </cfRule>
  </conditionalFormatting>
  <conditionalFormatting sqref="B15:C15 E15 G15:AF15">
    <cfRule type="expression" dxfId="370" priority="507">
      <formula>$B$15=0</formula>
    </cfRule>
  </conditionalFormatting>
  <conditionalFormatting sqref="B8:C8">
    <cfRule type="expression" dxfId="369" priority="506">
      <formula>$B$7=""</formula>
    </cfRule>
  </conditionalFormatting>
  <conditionalFormatting sqref="J72:AE72">
    <cfRule type="expression" dxfId="368" priority="505">
      <formula>OFFSET(J72,-2,-2)=1</formula>
    </cfRule>
  </conditionalFormatting>
  <conditionalFormatting sqref="H72:AE72">
    <cfRule type="expression" dxfId="367" priority="504">
      <formula>ROUND(H72,4)&gt;ROUND(H70,4)</formula>
    </cfRule>
  </conditionalFormatting>
  <conditionalFormatting sqref="E16:E24 G16:AE24">
    <cfRule type="expression" dxfId="366" priority="6" stopIfTrue="1">
      <formula>IF(OR(E$12&gt;CÁLCULO.NúmeroDeFrentes,ACOMPANHAMENTO="BM"),TRUE,CRONOPLE.ValorDoEvento=0)</formula>
    </cfRule>
  </conditionalFormatting>
  <conditionalFormatting sqref="E25:E33 G25:AE33">
    <cfRule type="expression" dxfId="365" priority="5" stopIfTrue="1">
      <formula>IF(OR(E$12&gt;CÁLCULO.NúmeroDeFrentes,ACOMPANHAMENTO="BM"),TRUE,CRONOPLE.ValorDoEvento=0)</formula>
    </cfRule>
  </conditionalFormatting>
  <conditionalFormatting sqref="E34:E42 G34:AE42">
    <cfRule type="expression" dxfId="364" priority="4" stopIfTrue="1">
      <formula>IF(OR(E$12&gt;CÁLCULO.NúmeroDeFrentes,ACOMPANHAMENTO="BM"),TRUE,CRONOPLE.ValorDoEvento=0)</formula>
    </cfRule>
  </conditionalFormatting>
  <conditionalFormatting sqref="E43:E51 G43:AE51">
    <cfRule type="expression" dxfId="363" priority="3" stopIfTrue="1">
      <formula>IF(OR(E$12&gt;CÁLCULO.NúmeroDeFrentes,ACOMPANHAMENTO="BM"),TRUE,CRONOPLE.ValorDoEvento=0)</formula>
    </cfRule>
  </conditionalFormatting>
  <conditionalFormatting sqref="E52:E60 G52:AE60">
    <cfRule type="expression" dxfId="362" priority="2" stopIfTrue="1">
      <formula>IF(OR(E$12&gt;CÁLCULO.NúmeroDeFrentes,ACOMPANHAMENTO="BM"),TRUE,CRONOPLE.ValorDoEvento=0)</formula>
    </cfRule>
  </conditionalFormatting>
  <conditionalFormatting sqref="E61:E64 G61:AE64">
    <cfRule type="expression" dxfId="361"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IF($F2=-1,0,IF(N$13&lt;=$M1,IF(ISERROR(MATCH(N$13,OFFSET($M1,1,0,ROW($M$164)-ROW($M1)-1),0)),ROW($M$164)-ROW($M1)-1,MATCH(N$13,OFFSET($M1,1,0,ROW($M$164)-ROW($M1)-1),0)-1),0))</f>
        <v>#REF!</v>
      </c>
      <c r="O1" s="193" t="e">
        <f ca="1">IF($F2=-1,0,IF(O$13&lt;=$M1,IF(ISERROR(MATCH(O$13,OFFSET($M1,1,0,ROW($M$164)-ROW($M1)-1),0)),ROW($M$164)-ROW($M1)-1,MATCH(O$13,OFFSET($M1,1,0,ROW($M$164)-ROW($M1)-1),0)-1),0))</f>
        <v>#REF!</v>
      </c>
      <c r="P1" s="193" t="e">
        <f ca="1">IF($F2=-1,0,IF(P$13&lt;=$M1,IF(ISERROR(MATCH(P$13,OFFSET($M1,1,0,ROW($M$164)-ROW($M1)-1),0)),ROW($M$164)-ROW($M1)-1,MATCH(P$13,OFFSET($M1,1,0,ROW($M$164)-ROW($M1)-1),0)-1),0))</f>
        <v>#REF!</v>
      </c>
      <c r="Q1" s="193" t="e">
        <f ca="1">IF($F2=-1,0,IF(Q$13&lt;=$M1,IF(ISERROR(MATCH(Q$13,OFFSET($M1,1,0,ROW($M$164)-ROW($M1)-1),0)),ROW($M$164)-ROW($M1)-1,MATCH(Q$13,OFFSET($M1,1,0,ROW($M$164)-ROW($M1)-1),0)-1),0))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SUMIF(CÁLCULO!$AM$15:$AW$44,CRONO!E$12,CÁLCULO!$AB$15:$AL$44)/(ORÇAMENTO!$X$15-CÁLCULO.TotalAdmLocal)*CRONO!$F3,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SUMIF(CÁLCULO!$AM$15:$AW$44,CRONO!U$12,CÁLCULO!$AB$15:$AL$44)/(ORÇAMENTO!$X$15-CÁLCULO.TotalAdmLocal)*CRONO!$F3,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SUMIF(CÁLCULO!$AM$15:$AW$44,CRONO!V$12,CÁLCULO!$AB$15:$AL$44)/(ORÇAMENTO!$X$15-CÁLCULO.TotalAdmLocal)*CRONO!$F3,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SUMIF(CÁLCULO!$AM$15:$AW$44,CRONO!W$12,CÁLCULO!$AB$15:$AL$44)/(ORÇAMENTO!$X$15-CÁLCULO.TotalAdmLocal)*CRONO!$F3,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SUMIF(CÁLCULO!$AM$15:$AW$44,CRONO!X$12,CÁLCULO!$AB$15:$AL$44)/(ORÇAMENTO!$X$15-CÁLCULO.TotalAdmLocal)*CRONO!$F3,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SUMIF(CÁLCULO!$AM$15:$AW$44,CRONO!Y$12,CÁLCULO!$AB$15:$AL$44)/(ORÇAMENTO!$X$15-CÁLCULO.TotalAdmLocal)*CRONO!$F3,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SUMIF(CÁLCULO!$AM$15:$AW$44,CRONO!Z$12,CÁLCULO!$AB$15:$AL$44)/(ORÇAMENTO!$X$15-CÁLCULO.TotalAdmLocal)*CRONO!$F3,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SUMIF(CÁLCULO!$AM$15:$AW$44,CRONO!AA$12,CÁLCULO!$AB$15:$AL$44)/(ORÇAMENTO!$X$15-CÁLCULO.TotalAdmLocal)*CRONO!$F3,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SUMIF(CÁLCULO!$AM$15:$AW$44,CRONO!AB$12,CÁLCULO!$AB$15:$AL$44)/(ORÇAMENTO!$X$15-CÁLCULO.TotalAdmLocal)*CRONO!$F3,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SUMIF(CÁLCULO!$AM$15:$AW$44,CRONO!AC$12,CÁLCULO!$AB$15:$AL$44)/(ORÇAMENTO!$X$15-CÁLCULO.TotalAdmLocal)*CRONO!$F3,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SUMIF(CÁLCULO!$AM$15:$AW$44,CRONO!AD$12,CÁLCULO!$AB$15:$AL$44)/(ORÇAMENTO!$X$15-CÁLCULO.TotalAdmLocal)*CRONO!$F3,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SUMIF(CÁLCULO!$AM$15:$AW$44,CRONO!AE$12,CÁLCULO!$AB$15:$AL$44)/(ORÇAMENTO!$X$15-CÁLCULO.TotalAdmLocal)*CRONO!$F3,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SUMIF(CÁLCULO!$AM$15:$AW$44,CRONO!AF$12,CÁLCULO!$AB$15:$AL$44)/(ORÇAMENTO!$X$15-CÁLCULO.TotalAdmLocal)*CRONO!$F3,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2" t="s">
        <v>644</v>
      </c>
      <c r="AF4" s="682"/>
    </row>
    <row r="5" spans="1:33" ht="15" x14ac:dyDescent="0.2">
      <c r="S5" s="83" t="str">
        <f>import.recurso</f>
        <v>OGU</v>
      </c>
      <c r="AE5" s="683" t="s">
        <v>647</v>
      </c>
      <c r="AF5" s="683"/>
    </row>
    <row r="6" spans="1:33" ht="12.75" customHeight="1" x14ac:dyDescent="0.2"/>
    <row r="7" spans="1:33" ht="12.75" customHeight="1" x14ac:dyDescent="0.2">
      <c r="F7" s="207"/>
      <c r="H7" s="765"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10" t="s">
        <v>655</v>
      </c>
      <c r="H8" s="765"/>
      <c r="I8" s="764" t="str">
        <f>Import.CR</f>
        <v>984561-2025</v>
      </c>
      <c r="J8" s="764"/>
      <c r="K8" s="214" t="str">
        <f>Import.TransfereGOV</f>
        <v>984561</v>
      </c>
      <c r="L8" s="774" t="str">
        <f>Import.Proponente</f>
        <v>Município de Ivorá</v>
      </c>
      <c r="M8" s="774"/>
      <c r="N8" s="774"/>
      <c r="O8" s="774"/>
      <c r="P8" s="774"/>
      <c r="Q8" s="774"/>
      <c r="R8" s="774"/>
      <c r="S8" s="774"/>
      <c r="T8" s="774"/>
      <c r="U8" s="764" t="str">
        <f>Import.Apelido</f>
        <v>Pavimentação Rua Padre Pedro Marcelino Copetti</v>
      </c>
      <c r="V8" s="764"/>
      <c r="W8" s="764"/>
      <c r="X8" s="764"/>
      <c r="Y8" s="764"/>
      <c r="Z8" s="766" t="str" cm="1">
        <f t="array" ref="Z8">IF(TIPOORCAMENTO="Licitado",Import.empresa,Import.DescLote)</f>
        <v>Pavimentação Asfáltica Rua Padre Pedro Marcelino Copetti</v>
      </c>
      <c r="AA8" s="766"/>
      <c r="AB8" s="766"/>
      <c r="AC8" s="766"/>
      <c r="AD8" s="766"/>
      <c r="AE8" s="766"/>
      <c r="AF8" s="203" t="str" cm="1">
        <f t="array" ref="AF8">IF(TIPOORCAMENTO="Licitado",Import.CTEF,"")</f>
        <v/>
      </c>
    </row>
    <row r="9" spans="1:33" x14ac:dyDescent="0.2">
      <c r="A9" s="655">
        <v>2</v>
      </c>
      <c r="F9" s="114"/>
      <c r="G9" s="710"/>
      <c r="H9" s="765"/>
    </row>
    <row r="10" spans="1:33" x14ac:dyDescent="0.2">
      <c r="A10" s="656">
        <v>3</v>
      </c>
      <c r="F10" s="185" cm="1">
        <f t="array" aca="1" ref="F10" ca="1">CRONO.LinhasNecessarias</f>
        <v>7</v>
      </c>
      <c r="G10" s="710"/>
      <c r="H10" s="215">
        <v>2</v>
      </c>
      <c r="K10" s="775"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775"/>
      <c r="M10" s="775"/>
      <c r="N10" s="775"/>
      <c r="O10" s="775"/>
      <c r="P10" s="775"/>
      <c r="Q10" s="775"/>
      <c r="R10" s="775"/>
      <c r="S10" s="775"/>
      <c r="T10" s="775"/>
    </row>
    <row r="11" spans="1:33" ht="12.75" customHeight="1" x14ac:dyDescent="0.2">
      <c r="A11" s="657">
        <v>4</v>
      </c>
      <c r="F11" s="185" cm="1">
        <f t="array" aca="1" ref="F11" ca="1">CRONO.ParcelaFinal</f>
        <v>2</v>
      </c>
      <c r="G11" s="710"/>
      <c r="I11" s="216"/>
      <c r="J11" s="216"/>
      <c r="K11" s="775"/>
      <c r="L11" s="775"/>
      <c r="M11" s="775"/>
      <c r="N11" s="775"/>
      <c r="O11" s="775"/>
      <c r="P11" s="775"/>
      <c r="Q11" s="775"/>
      <c r="R11" s="775"/>
      <c r="S11" s="775"/>
      <c r="T11" s="775"/>
    </row>
    <row r="12" spans="1:33" ht="12.75" customHeight="1" x14ac:dyDescent="0.2">
      <c r="A12" s="186" t="s">
        <v>789</v>
      </c>
      <c r="E12" s="217">
        <f ca="1">OFFSET(E12,0,-1)+1</f>
        <v>1</v>
      </c>
      <c r="G12" s="106" t="s">
        <v>660</v>
      </c>
      <c r="H12" s="767" t="s">
        <v>790</v>
      </c>
      <c r="I12" s="768" t="s">
        <v>735</v>
      </c>
      <c r="J12" s="769" t="s">
        <v>118</v>
      </c>
      <c r="K12" s="218"/>
      <c r="L12" s="218"/>
      <c r="M12" s="219"/>
      <c r="N12" s="219"/>
      <c r="O12" s="219"/>
      <c r="P12" s="219"/>
      <c r="Q12" s="219"/>
      <c r="R12" s="219"/>
      <c r="S12" s="772" t="s">
        <v>791</v>
      </c>
      <c r="T12" s="77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7"/>
      <c r="I13" s="768"/>
      <c r="J13" s="769"/>
      <c r="K13" s="223"/>
      <c r="L13" s="223"/>
      <c r="M13" s="224" t="s">
        <v>733</v>
      </c>
      <c r="N13" s="224">
        <v>1</v>
      </c>
      <c r="O13" s="224">
        <v>2</v>
      </c>
      <c r="P13" s="224">
        <v>3</v>
      </c>
      <c r="Q13" s="224">
        <v>4</v>
      </c>
      <c r="R13" s="225" t="s">
        <v>796</v>
      </c>
      <c r="S13" s="772"/>
      <c r="T13" s="773"/>
      <c r="U13" s="226">
        <v>46266</v>
      </c>
      <c r="V13" s="222">
        <f ca="1">OFFSET(V13,0,-1)+41-DAY(OFFSET(V13,0,-1)+40)</f>
        <v>46296</v>
      </c>
      <c r="W13" s="222">
        <f ca="1">OFFSET(W13,0,-1)+41-DAY(OFFSET(W13,0,-1)+40)</f>
        <v>46327</v>
      </c>
      <c r="X13" s="222">
        <f t="shared" ref="X13:AF13" ca="1" si="1">OFFSET(X13,0,-1)+41-DAY(OFFSET(X13,0,-1)+40)</f>
        <v>46357</v>
      </c>
      <c r="Y13" s="222">
        <f t="shared" ca="1" si="1"/>
        <v>46388</v>
      </c>
      <c r="Z13" s="222">
        <f t="shared" ca="1" si="1"/>
        <v>46419</v>
      </c>
      <c r="AA13" s="222">
        <f t="shared" ca="1" si="1"/>
        <v>46447</v>
      </c>
      <c r="AB13" s="222">
        <f t="shared" ca="1" si="1"/>
        <v>46478</v>
      </c>
      <c r="AC13" s="222">
        <f t="shared" ca="1" si="1"/>
        <v>46508</v>
      </c>
      <c r="AD13" s="222">
        <f t="shared" ca="1" si="1"/>
        <v>46539</v>
      </c>
      <c r="AE13" s="222">
        <f t="shared" ca="1" si="1"/>
        <v>46569</v>
      </c>
      <c r="AF13" s="538">
        <f t="shared" ca="1" si="1"/>
        <v>46600</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0.6227902760567875</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Pavimentação em CBUQ Rua Padre Pedro Marcelino Copetti</v>
      </c>
      <c r="K14" s="191"/>
      <c r="L14" s="191"/>
      <c r="M14" s="192">
        <f ca="1">IF($F15=0,OFFSET(ORÇAMENTO!C$15,$F14,0),1)</f>
        <v>1</v>
      </c>
      <c r="N14" s="193">
        <f ca="1">IF($F15=-1,0,IF(N$13&lt;=$M14,IF(ISERROR(MATCH(N$13,OFFSET($M14,1,0,ROW($M$164)-ROW($M14)-1),0)),ROW($M$164)-ROW($M14)-1,MATCH(N$13,OFFSET($M14,1,0,ROW($M$164)-ROW($M14)-1),0)-1),0))</f>
        <v>20</v>
      </c>
      <c r="O14" s="193">
        <f ca="1">IF($F15=-1,0,IF(O$13&lt;=$M14,IF(ISERROR(MATCH(O$13,OFFSET($M14,1,0,ROW($M$164)-ROW($M14)-1),0)),ROW($M$164)-ROW($M14)-1,MATCH(O$13,OFFSET($M14,1,0,ROW($M$164)-ROW($M14)-1),0)-1),0))</f>
        <v>0</v>
      </c>
      <c r="P14" s="193">
        <f ca="1">IF($F15=-1,0,IF(P$13&lt;=$M14,IF(ISERROR(MATCH(P$13,OFFSET($M14,1,0,ROW($M$164)-ROW($M14)-1),0)),ROW($M$164)-ROW($M14)-1,MATCH(P$13,OFFSET($M14,1,0,ROW($M$164)-ROW($M14)-1),0)-1),0))</f>
        <v>0</v>
      </c>
      <c r="Q14" s="193">
        <f ca="1">IF($F15=-1,0,IF(Q$13&lt;=$M14,IF(ISERROR(MATCH(Q$13,OFFSET($M14,1,0,ROW($M$164)-ROW($M14)-1),0)),ROW($M$164)-ROW($M14)-1,MATCH(Q$13,OFFSET($M14,1,0,ROW($M$164)-ROW($M14)-1),0)-1),0))</f>
        <v>0</v>
      </c>
      <c r="R14" s="193">
        <f t="shared" ref="R14" ca="1" si="5">MIN(OFFSET(M14,0,1,,M14))</f>
        <v>20</v>
      </c>
      <c r="S14" s="194">
        <f ca="1">IF($F15=0,OFFSET(ORÇAMENTO!X$15,$F14,0),IF($F15&lt;&gt;-1,OFFSET(QCI!$O$13,$F15,0),""))</f>
        <v>424489.11</v>
      </c>
      <c r="T14" s="195" t="s">
        <v>785</v>
      </c>
      <c r="U14" s="188" cm="1">
        <f t="array" aca="1" ref="U14" ca="1">IF(AND($R14=2,ACOMPANHAMENTO="BM"),ROUND(U15,4),U16/$S14)</f>
        <v>0.6227902760567875</v>
      </c>
      <c r="V14" s="188" cm="1">
        <f t="array" aca="1" ref="V14" ca="1">IF(AND($R14=2,ACOMPANHAMENTO="BM"),ROUND(V15,4),V16/$S14)</f>
        <v>0.37720972394321262</v>
      </c>
      <c r="W14" s="188" cm="1">
        <f t="array" aca="1" ref="W14" ca="1">IF(AND($R14=2,ACOMPANHAMENTO="BM"),ROUND(W15,4),W16/$S14)</f>
        <v>0</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SUMIF(CÁLCULO!$AM$15:$AW$44,CRONO!E$12,CÁLCULO!$AB$15:$AL$44)/(ORÇAMENTO!$X$15-CÁLCULO.TotalAdmLocal)*CRONO!$F16,
                        0),
                 E15*$S14),
          SUMIF(OFFSET($S16,1,0,$R14-2),($M14+1)&amp;"$",OFFSET(E16,1,0,$R14-2)))</f>
        <v>264367.69</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SUMIF(CÁLCULO!$AM$15:$AW$44,CRONO!U$12,CÁLCULO!$AB$15:$AL$44)/(ORÇAMENTO!$X$15-CÁLCULO.TotalAdmLocal)*CRONO!$F16,
                        0),
                 U15*$S14),
          SUMIF(OFFSET($S16,1,0,$R14-2),($M14+1)&amp;"$",OFFSET(U16,1,0,$R14-2)))</f>
        <v>264367.69</v>
      </c>
      <c r="V16" s="202" cm="1">
        <f t="array" aca="1" ref="V16" ca="1">IF($R14=2,
         IF(AND(ACOMPANHAMENTO="PLE",ISNUMBER($F14)),
                SUMIF((OFFSET(CÁLCULO!$AM$15:$AW$15,$F14,0,OFFSET(ORÇAMENTO!$D$15,CRONO!$F14,0))),CRONO!V$12,OFFSET(CÁLCULO!$AB$15:$AL$15,$F14,0,OFFSET(ORÇAMENTO!$D$15,CRONO!$F14,0)))
                +IF(AND($F16&lt;&gt;"",$F16&lt;&gt;0),
                        SUMIF(CÁLCULO!$AM$15:$AW$44,CRONO!V$12,CÁLCULO!$AB$15:$AL$44)/(ORÇAMENTO!$X$15-CÁLCULO.TotalAdmLocal)*CRONO!$F16,
                        0),
                 V15*$S14),
          SUMIF(OFFSET($S16,1,0,$R14-2),($M14+1)&amp;"$",OFFSET(V16,1,0,$R14-2)))</f>
        <v>160121.42000000001</v>
      </c>
      <c r="W16" s="202" cm="1">
        <f t="array" aca="1" ref="W16" ca="1">IF($R14=2,
         IF(AND(ACOMPANHAMENTO="PLE",ISNUMBER($F14)),
                SUMIF((OFFSET(CÁLCULO!$AM$15:$AW$15,$F14,0,OFFSET(ORÇAMENTO!$D$15,CRONO!$F14,0))),CRONO!W$12,OFFSET(CÁLCULO!$AB$15:$AL$15,$F14,0,OFFSET(ORÇAMENTO!$D$15,CRONO!$F14,0)))
                +IF(AND($F16&lt;&gt;"",$F16&lt;&gt;0),
                        SUMIF(CÁLCULO!$AM$15:$AW$44,CRONO!W$12,CÁLCULO!$AB$15:$AL$44)/(ORÇAMENTO!$X$15-CÁLCULO.TotalAdmLocal)*CRONO!$F16,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SUMIF(CÁLCULO!$AM$15:$AW$44,CRONO!X$12,CÁLCULO!$AB$15:$AL$44)/(ORÇAMENTO!$X$15-CÁLCULO.TotalAdmLocal)*CRONO!$F16,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SUMIF(CÁLCULO!$AM$15:$AW$44,CRONO!Y$12,CÁLCULO!$AB$15:$AL$44)/(ORÇAMENTO!$X$15-CÁLCULO.TotalAdmLocal)*CRONO!$F16,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SUMIF(CÁLCULO!$AM$15:$AW$44,CRONO!Z$12,CÁLCULO!$AB$15:$AL$44)/(ORÇAMENTO!$X$15-CÁLCULO.TotalAdmLocal)*CRONO!$F16,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SUMIF(CÁLCULO!$AM$15:$AW$44,CRONO!AA$12,CÁLCULO!$AB$15:$AL$44)/(ORÇAMENTO!$X$15-CÁLCULO.TotalAdmLocal)*CRONO!$F16,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SUMIF(CÁLCULO!$AM$15:$AW$44,CRONO!AB$12,CÁLCULO!$AB$15:$AL$44)/(ORÇAMENTO!$X$15-CÁLCULO.TotalAdmLocal)*CRONO!$F16,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SUMIF(CÁLCULO!$AM$15:$AW$44,CRONO!AC$12,CÁLCULO!$AB$15:$AL$44)/(ORÇAMENTO!$X$15-CÁLCULO.TotalAdmLocal)*CRONO!$F16,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SUMIF(CÁLCULO!$AM$15:$AW$44,CRONO!AD$12,CÁLCULO!$AB$15:$AL$44)/(ORÇAMENTO!$X$15-CÁLCULO.TotalAdmLocal)*CRONO!$F16,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SUMIF(CÁLCULO!$AM$15:$AW$44,CRONO!AE$12,CÁLCULO!$AB$15:$AL$44)/(ORÇAMENTO!$X$15-CÁLCULO.TotalAdmLocal)*CRONO!$F16,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SUMIF(CÁLCULO!$AM$15:$AW$44,CRONO!AF$12,CÁLCULO!$AB$15:$AL$44)/(ORÇAMENTO!$X$15-CÁLCULO.TotalAdmLocal)*CRONO!$F16,
                        0),
                 AF15*$S14),
          SUMIF(OFFSET($S16,1,0,$R14-2),($M14+1)&amp;"$",OFFSET(AF16,1,0,$R14-2)))</f>
        <v>0</v>
      </c>
      <c r="AG16" s="534"/>
    </row>
    <row r="17" spans="1:33" x14ac:dyDescent="0.2">
      <c r="A17" s="186" t="str">
        <f t="shared" ref="A17" ca="1" si="8">IF($M17&gt;1,_xlfn.CONCAT($I17," ",$J17),"")</f>
        <v>1.1. Serviços Preliminares</v>
      </c>
      <c r="B17" s="185">
        <f t="shared" ref="B17" ca="1" si="9">OFFSET(B17,-3,0)+1</f>
        <v>2</v>
      </c>
      <c r="C17" s="185">
        <f ca="1">IF($R17&lt;&gt;2,0,IF($S17=0,1,IF(F18&gt;0,OFFSET(QCI!$M$13,SUBSTITUTE(F18,".",""),0),OFFSET(ORÇAMENTO!$AA$15,CRONO!$F17,0))/$S17))</f>
        <v>8.1571256327400199E-2</v>
      </c>
      <c r="D17" s="185">
        <f ca="1">IF($R17&lt;&gt;2,0,IF($S17=0,1,IF(F18&gt;0,OFFSET(QCI!$N$13,SUBSTITUTE(F18,".",""),0),OFFSET(ORÇAMENTO!$AB$15,CRONO!$F17,0))/$S17))</f>
        <v>0</v>
      </c>
      <c r="E17" s="188" cm="1">
        <f t="array" aca="1" ref="E17" ca="1">IF(AND($R17=2,ACOMPANHAMENTO="BM"),ROUND(E18,4),E19/$S17)</f>
        <v>0.63430208154945988</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Preliminares</v>
      </c>
      <c r="K17" s="191"/>
      <c r="L17" s="191"/>
      <c r="M17" s="192">
        <f ca="1">IF($F18=0,OFFSET(ORÇAMENTO!C$15,$F17,0),1)</f>
        <v>2</v>
      </c>
      <c r="N17" s="193">
        <f ca="1">IF($F18=-1,0,IF(N$13&lt;=$M17,IF(ISERROR(MATCH(N$13,OFFSET($M17,1,0,ROW($M$164)-ROW($M17)-1),0)),ROW($M$164)-ROW($M17)-1,MATCH(N$13,OFFSET($M17,1,0,ROW($M$164)-ROW($M17)-1),0)-1),0))</f>
        <v>17</v>
      </c>
      <c r="O17" s="193">
        <f ca="1">IF($F18=-1,0,IF(O$13&lt;=$M17,IF(ISERROR(MATCH(O$13,OFFSET($M17,1,0,ROW($M$164)-ROW($M17)-1),0)),ROW($M$164)-ROW($M17)-1,MATCH(O$13,OFFSET($M17,1,0,ROW($M$164)-ROW($M17)-1),0)-1),0))</f>
        <v>2</v>
      </c>
      <c r="P17" s="193">
        <f ca="1">IF($F18=-1,0,IF(P$13&lt;=$M17,IF(ISERROR(MATCH(P$13,OFFSET($M17,1,0,ROW($M$164)-ROW($M17)-1),0)),ROW($M$164)-ROW($M17)-1,MATCH(P$13,OFFSET($M17,1,0,ROW($M$164)-ROW($M17)-1),0)-1),0))</f>
        <v>0</v>
      </c>
      <c r="Q17" s="193">
        <f ca="1">IF($F18=-1,0,IF(Q$13&lt;=$M17,IF(ISERROR(MATCH(Q$13,OFFSET($M17,1,0,ROW($M$164)-ROW($M17)-1),0)),ROW($M$164)-ROW($M17)-1,MATCH(Q$13,OFFSET($M17,1,0,ROW($M$164)-ROW($M17)-1),0)-1),0))</f>
        <v>0</v>
      </c>
      <c r="R17" s="193">
        <f t="shared" ref="R17" ca="1" si="11">MIN(OFFSET(M17,0,1,,M17))</f>
        <v>2</v>
      </c>
      <c r="S17" s="194">
        <f ca="1">IF($F18=0,OFFSET(ORÇAMENTO!X$15,$F17,0),IF($F18&lt;&gt;-1,OFFSET(QCI!$O$13,$F18,0),""))</f>
        <v>14890.35</v>
      </c>
      <c r="T17" s="195" t="s">
        <v>785</v>
      </c>
      <c r="U17" s="188" cm="1">
        <f t="array" aca="1" ref="U17" ca="1">IF(AND($R17=2,ACOMPANHAMENTO="BM"),ROUND(U18,4),U19/$S17)</f>
        <v>0.63430208154945988</v>
      </c>
      <c r="V17" s="188" cm="1">
        <f t="array" aca="1" ref="V17" ca="1">IF(AND($R17=2,ACOMPANHAMENTO="BM"),ROUND(V18,4),V19/$S17)</f>
        <v>0.36569791845054012</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SUMIF(CÁLCULO!$AM$15:$AW$44,CRONO!E$12,CÁLCULO!$AB$15:$AL$44)/(ORÇAMENTO!$X$15-CÁLCULO.TotalAdmLocal)*CRONO!$F19,
                        0),
                 E18*$S17),
          SUMIF(OFFSET($S19,1,0,$R17-2),($M17+1)&amp;"$",OFFSET(E19,1,0,$R17-2)))</f>
        <v>9444.98</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SUMIF(CÁLCULO!$AM$15:$AW$44,CRONO!U$12,CÁLCULO!$AB$15:$AL$44)/(ORÇAMENTO!$X$15-CÁLCULO.TotalAdmLocal)*CRONO!$F19,
                        0),
                 U18*$S17),
          SUMIF(OFFSET($S19,1,0,$R17-2),($M17+1)&amp;"$",OFFSET(U19,1,0,$R17-2)))</f>
        <v>9444.98</v>
      </c>
      <c r="V19" s="202" cm="1">
        <f t="array" aca="1" ref="V19" ca="1">IF($R17=2,
         IF(AND(ACOMPANHAMENTO="PLE",ISNUMBER($F17)),
                SUMIF((OFFSET(CÁLCULO!$AM$15:$AW$15,$F17,0,OFFSET(ORÇAMENTO!$D$15,CRONO!$F17,0))),CRONO!V$12,OFFSET(CÁLCULO!$AB$15:$AL$15,$F17,0,OFFSET(ORÇAMENTO!$D$15,CRONO!$F17,0)))
                +IF(AND($F19&lt;&gt;"",$F19&lt;&gt;0),
                        SUMIF(CÁLCULO!$AM$15:$AW$44,CRONO!V$12,CÁLCULO!$AB$15:$AL$44)/(ORÇAMENTO!$X$15-CÁLCULO.TotalAdmLocal)*CRONO!$F19,
                        0),
                 V18*$S17),
          SUMIF(OFFSET($S19,1,0,$R17-2),($M17+1)&amp;"$",OFFSET(V19,1,0,$R17-2)))</f>
        <v>5445.37</v>
      </c>
      <c r="W19" s="202" cm="1">
        <f t="array" aca="1" ref="W19" ca="1">IF($R17=2,
         IF(AND(ACOMPANHAMENTO="PLE",ISNUMBER($F17)),
                SUMIF((OFFSET(CÁLCULO!$AM$15:$AW$15,$F17,0,OFFSET(ORÇAMENTO!$D$15,CRONO!$F17,0))),CRONO!W$12,OFFSET(CÁLCULO!$AB$15:$AL$15,$F17,0,OFFSET(ORÇAMENTO!$D$15,CRONO!$F17,0)))
                +IF(AND($F19&lt;&gt;"",$F19&lt;&gt;0),
                        SUMIF(CÁLCULO!$AM$15:$AW$44,CRONO!W$12,CÁLCULO!$AB$15:$AL$44)/(ORÇAMENTO!$X$15-CÁLCULO.TotalAdmLocal)*CRONO!$F19,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SUMIF(CÁLCULO!$AM$15:$AW$44,CRONO!X$12,CÁLCULO!$AB$15:$AL$44)/(ORÇAMENTO!$X$15-CÁLCULO.TotalAdmLocal)*CRONO!$F19,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SUMIF(CÁLCULO!$AM$15:$AW$44,CRONO!Y$12,CÁLCULO!$AB$15:$AL$44)/(ORÇAMENTO!$X$15-CÁLCULO.TotalAdmLocal)*CRONO!$F19,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SUMIF(CÁLCULO!$AM$15:$AW$44,CRONO!Z$12,CÁLCULO!$AB$15:$AL$44)/(ORÇAMENTO!$X$15-CÁLCULO.TotalAdmLocal)*CRONO!$F19,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SUMIF(CÁLCULO!$AM$15:$AW$44,CRONO!AA$12,CÁLCULO!$AB$15:$AL$44)/(ORÇAMENTO!$X$15-CÁLCULO.TotalAdmLocal)*CRONO!$F19,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SUMIF(CÁLCULO!$AM$15:$AW$44,CRONO!AB$12,CÁLCULO!$AB$15:$AL$44)/(ORÇAMENTO!$X$15-CÁLCULO.TotalAdmLocal)*CRONO!$F19,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SUMIF(CÁLCULO!$AM$15:$AW$44,CRONO!AC$12,CÁLCULO!$AB$15:$AL$44)/(ORÇAMENTO!$X$15-CÁLCULO.TotalAdmLocal)*CRONO!$F19,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SUMIF(CÁLCULO!$AM$15:$AW$44,CRONO!AD$12,CÁLCULO!$AB$15:$AL$44)/(ORÇAMENTO!$X$15-CÁLCULO.TotalAdmLocal)*CRONO!$F19,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SUMIF(CÁLCULO!$AM$15:$AW$44,CRONO!AE$12,CÁLCULO!$AB$15:$AL$44)/(ORÇAMENTO!$X$15-CÁLCULO.TotalAdmLocal)*CRONO!$F19,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SUMIF(CÁLCULO!$AM$15:$AW$44,CRONO!AF$12,CÁLCULO!$AB$15:$AL$44)/(ORÇAMENTO!$X$15-CÁLCULO.TotalAdmLocal)*CRONO!$F19,
                        0),
                 AF18*$S17),
          SUMIF(OFFSET($S19,1,0,$R17-2),($M17+1)&amp;"$",OFFSET(AF19,1,0,$R17-2)))</f>
        <v>0</v>
      </c>
      <c r="AG19" s="534"/>
    </row>
    <row r="20" spans="1:33" x14ac:dyDescent="0.2">
      <c r="A20" s="186" t="str">
        <f t="shared" ref="A20" ca="1" si="14">IF($M20&gt;1,_xlfn.CONCAT($I20," ",$J20),"")</f>
        <v>1.2. Administração Local</v>
      </c>
      <c r="B20" s="185">
        <f t="shared" ref="B20" ca="1" si="15">OFFSET(B20,-3,0)+1</f>
        <v>3</v>
      </c>
      <c r="C20" s="185">
        <f ca="1">IF($R20&lt;&gt;2,0,IF($S20=0,1,IF(F21&gt;0,OFFSET(QCI!$M$13,SUBSTITUTE(F21,".",""),0),OFFSET(ORÇAMENTO!$AA$15,CRONO!$F20,0))/$S20))</f>
        <v>8.1571256327400213E-2</v>
      </c>
      <c r="D20" s="185">
        <f ca="1">IF($R20&lt;&gt;2,0,IF($S20=0,1,IF(F21&gt;0,OFFSET(QCI!$N$13,SUBSTITUTE(F21,".",""),0),OFFSET(ORÇAMENTO!$AB$15,CRONO!$F20,0))/$S20))</f>
        <v>0</v>
      </c>
      <c r="E20" s="188" cm="1">
        <f t="array" aca="1" ref="E20" ca="1">IF(AND($R20=2,ACOMPANHAMENTO="BM"),ROUND(E21,4),E22/$S20)</f>
        <v>0.5063881418567745</v>
      </c>
      <c r="F20" s="185" cm="1">
        <f t="array" aca="1" ref="F20" ca="1">IF(B20&lt;=ORÇAMENTO.MáximoListaCrono,MATCH(B20,ORÇAMENTO.ListaCrono,0),NA())</f>
        <v>6</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Administração Local</v>
      </c>
      <c r="K20" s="191"/>
      <c r="L20" s="191"/>
      <c r="M20" s="192">
        <f ca="1">IF($F21=0,OFFSET(ORÇAMENTO!C$15,$F20,0),1)</f>
        <v>2</v>
      </c>
      <c r="N20" s="193">
        <f ca="1">IF($F21=-1,0,IF(N$13&lt;=$M20,IF(ISERROR(MATCH(N$13,OFFSET($M20,1,0,ROW($M$164)-ROW($M20)-1),0)),ROW($M$164)-ROW($M20)-1,MATCH(N$13,OFFSET($M20,1,0,ROW($M$164)-ROW($M20)-1),0)-1),0))</f>
        <v>14</v>
      </c>
      <c r="O20" s="193">
        <f ca="1">IF($F21=-1,0,IF(O$13&lt;=$M20,IF(ISERROR(MATCH(O$13,OFFSET($M20,1,0,ROW($M$164)-ROW($M20)-1),0)),ROW($M$164)-ROW($M20)-1,MATCH(O$13,OFFSET($M20,1,0,ROW($M$164)-ROW($M20)-1),0)-1),0))</f>
        <v>2</v>
      </c>
      <c r="P20" s="193">
        <f ca="1">IF($F21=-1,0,IF(P$13&lt;=$M20,IF(ISERROR(MATCH(P$13,OFFSET($M20,1,0,ROW($M$164)-ROW($M20)-1),0)),ROW($M$164)-ROW($M20)-1,MATCH(P$13,OFFSET($M20,1,0,ROW($M$164)-ROW($M20)-1),0)-1),0))</f>
        <v>0</v>
      </c>
      <c r="Q20" s="193">
        <f ca="1">IF($F21=-1,0,IF(Q$13&lt;=$M20,IF(ISERROR(MATCH(Q$13,OFFSET($M20,1,0,ROW($M$164)-ROW($M20)-1),0)),ROW($M$164)-ROW($M20)-1,MATCH(Q$13,OFFSET($M20,1,0,ROW($M$164)-ROW($M20)-1),0)-1),0))</f>
        <v>0</v>
      </c>
      <c r="R20" s="193">
        <f t="shared" ref="R20" ca="1" si="17">MIN(OFFSET(M20,0,1,,M20))</f>
        <v>2</v>
      </c>
      <c r="S20" s="194">
        <f ca="1">IF($F21=0,OFFSET(ORÇAMENTO!X$15,$F20,0),IF($F21&lt;&gt;-1,OFFSET(QCI!$O$13,$F21,0),""))</f>
        <v>13516.45</v>
      </c>
      <c r="T20" s="195" t="s">
        <v>785</v>
      </c>
      <c r="U20" s="188" cm="1">
        <f t="array" aca="1" ref="U20" ca="1">IF(AND($R20=2,ACOMPANHAMENTO="BM"),ROUND(U21,4),U22/$S20)</f>
        <v>0.5063881418567745</v>
      </c>
      <c r="V20" s="188" cm="1">
        <f t="array" aca="1" ref="V20" ca="1">IF(AND($R20=2,ACOMPANHAMENTO="BM"),ROUND(V21,4),V22/$S20)</f>
        <v>0.4936118581432255</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SUMIF(CÁLCULO!$AM$15:$AW$44,CRONO!E$12,CÁLCULO!$AB$15:$AL$44)/(ORÇAMENTO!$X$15-CÁLCULO.TotalAdmLocal)*CRONO!$F22,
                        0),
                 E21*$S20),
          SUMIF(OFFSET($S22,1,0,$R20-2),($M20+1)&amp;"$",OFFSET(E22,1,0,$R20-2)))</f>
        <v>6844.57</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SUMIF(CÁLCULO!$AM$15:$AW$44,CRONO!U$12,CÁLCULO!$AB$15:$AL$44)/(ORÇAMENTO!$X$15-CÁLCULO.TotalAdmLocal)*CRONO!$F22,
                        0),
                 U21*$S20),
          SUMIF(OFFSET($S22,1,0,$R20-2),($M20+1)&amp;"$",OFFSET(U22,1,0,$R20-2)))</f>
        <v>6844.57</v>
      </c>
      <c r="V22" s="202" cm="1">
        <f t="array" aca="1" ref="V22" ca="1">IF($R20=2,
         IF(AND(ACOMPANHAMENTO="PLE",ISNUMBER($F20)),
                SUMIF((OFFSET(CÁLCULO!$AM$15:$AW$15,$F20,0,OFFSET(ORÇAMENTO!$D$15,CRONO!$F20,0))),CRONO!V$12,OFFSET(CÁLCULO!$AB$15:$AL$15,$F20,0,OFFSET(ORÇAMENTO!$D$15,CRONO!$F20,0)))
                +IF(AND($F22&lt;&gt;"",$F22&lt;&gt;0),
                        SUMIF(CÁLCULO!$AM$15:$AW$44,CRONO!V$12,CÁLCULO!$AB$15:$AL$44)/(ORÇAMENTO!$X$15-CÁLCULO.TotalAdmLocal)*CRONO!$F22,
                        0),
                 V21*$S20),
          SUMIF(OFFSET($S22,1,0,$R20-2),($M20+1)&amp;"$",OFFSET(V22,1,0,$R20-2)))</f>
        <v>6671.880000000001</v>
      </c>
      <c r="W22" s="202" cm="1">
        <f t="array" aca="1" ref="W22" ca="1">IF($R20=2,
         IF(AND(ACOMPANHAMENTO="PLE",ISNUMBER($F20)),
                SUMIF((OFFSET(CÁLCULO!$AM$15:$AW$15,$F20,0,OFFSET(ORÇAMENTO!$D$15,CRONO!$F20,0))),CRONO!W$12,OFFSET(CÁLCULO!$AB$15:$AL$15,$F20,0,OFFSET(ORÇAMENTO!$D$15,CRONO!$F20,0)))
                +IF(AND($F22&lt;&gt;"",$F22&lt;&gt;0),
                        SUMIF(CÁLCULO!$AM$15:$AW$44,CRONO!W$12,CÁLCULO!$AB$15:$AL$44)/(ORÇAMENTO!$X$15-CÁLCULO.TotalAdmLocal)*CRONO!$F22,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SUMIF(CÁLCULO!$AM$15:$AW$44,CRONO!X$12,CÁLCULO!$AB$15:$AL$44)/(ORÇAMENTO!$X$15-CÁLCULO.TotalAdmLocal)*CRONO!$F22,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SUMIF(CÁLCULO!$AM$15:$AW$44,CRONO!Y$12,CÁLCULO!$AB$15:$AL$44)/(ORÇAMENTO!$X$15-CÁLCULO.TotalAdmLocal)*CRONO!$F22,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SUMIF(CÁLCULO!$AM$15:$AW$44,CRONO!Z$12,CÁLCULO!$AB$15:$AL$44)/(ORÇAMENTO!$X$15-CÁLCULO.TotalAdmLocal)*CRONO!$F22,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SUMIF(CÁLCULO!$AM$15:$AW$44,CRONO!AA$12,CÁLCULO!$AB$15:$AL$44)/(ORÇAMENTO!$X$15-CÁLCULO.TotalAdmLocal)*CRONO!$F22,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SUMIF(CÁLCULO!$AM$15:$AW$44,CRONO!AB$12,CÁLCULO!$AB$15:$AL$44)/(ORÇAMENTO!$X$15-CÁLCULO.TotalAdmLocal)*CRONO!$F22,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SUMIF(CÁLCULO!$AM$15:$AW$44,CRONO!AC$12,CÁLCULO!$AB$15:$AL$44)/(ORÇAMENTO!$X$15-CÁLCULO.TotalAdmLocal)*CRONO!$F22,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SUMIF(CÁLCULO!$AM$15:$AW$44,CRONO!AD$12,CÁLCULO!$AB$15:$AL$44)/(ORÇAMENTO!$X$15-CÁLCULO.TotalAdmLocal)*CRONO!$F22,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SUMIF(CÁLCULO!$AM$15:$AW$44,CRONO!AE$12,CÁLCULO!$AB$15:$AL$44)/(ORÇAMENTO!$X$15-CÁLCULO.TotalAdmLocal)*CRONO!$F22,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SUMIF(CÁLCULO!$AM$15:$AW$44,CRONO!AF$12,CÁLCULO!$AB$15:$AL$44)/(ORÇAMENTO!$X$15-CÁLCULO.TotalAdmLocal)*CRONO!$F22,
                        0),
                 AF21*$S20),
          SUMIF(OFFSET($S22,1,0,$R20-2),($M20+1)&amp;"$",OFFSET(AF22,1,0,$R20-2)))</f>
        <v>0</v>
      </c>
      <c r="AG22" s="534"/>
    </row>
    <row r="23" spans="1:33" x14ac:dyDescent="0.2">
      <c r="A23" s="186" t="str">
        <f t="shared" ref="A23" ca="1" si="20">IF($M23&gt;1,_xlfn.CONCAT($I23," ",$J23),"")</f>
        <v>1.3. Terraplenagem</v>
      </c>
      <c r="B23" s="185">
        <f t="shared" ref="B23" ca="1" si="21">OFFSET(B23,-3,0)+1</f>
        <v>4</v>
      </c>
      <c r="C23" s="185">
        <f ca="1">IF($R23&lt;&gt;2,0,IF($S23=0,1,IF(F24&gt;0,OFFSET(QCI!$M$13,SUBSTITUTE(F24,".",""),0),OFFSET(ORÇAMENTO!$AA$15,CRONO!$F23,0))/$S23))</f>
        <v>8.1571256327400213E-2</v>
      </c>
      <c r="D23" s="185">
        <f ca="1">IF($R23&lt;&gt;2,0,IF($S23=0,1,IF(F24&gt;0,OFFSET(QCI!$N$13,SUBSTITUTE(F24,".",""),0),OFFSET(ORÇAMENTO!$AB$15,CRONO!$F23,0))/$S23))</f>
        <v>0</v>
      </c>
      <c r="E23" s="188" cm="1">
        <f t="array" aca="1" ref="E23" ca="1">IF(AND($R23=2,ACOMPANHAMENTO="BM"),ROUND(E24,4),E25/$S23)</f>
        <v>1</v>
      </c>
      <c r="F23" s="185" cm="1">
        <f t="array" aca="1" ref="F23" ca="1">IF(B23&lt;=ORÇAMENTO.MáximoListaCrono,MATCH(B23,ORÇAMENTO.ListaCrono,0),NA())</f>
        <v>12</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Terraplenagem</v>
      </c>
      <c r="K23" s="191"/>
      <c r="L23" s="191"/>
      <c r="M23" s="192">
        <f ca="1">IF($F24=0,OFFSET(ORÇAMENTO!C$15,$F23,0),1)</f>
        <v>2</v>
      </c>
      <c r="N23" s="193">
        <f ca="1">IF($F24=-1,0,IF(N$13&lt;=$M23,IF(ISERROR(MATCH(N$13,OFFSET($M23,1,0,ROW($M$164)-ROW($M23)-1),0)),ROW($M$164)-ROW($M23)-1,MATCH(N$13,OFFSET($M23,1,0,ROW($M$164)-ROW($M23)-1),0)-1),0))</f>
        <v>11</v>
      </c>
      <c r="O23" s="193">
        <f ca="1">IF($F24=-1,0,IF(O$13&lt;=$M23,IF(ISERROR(MATCH(O$13,OFFSET($M23,1,0,ROW($M$164)-ROW($M23)-1),0)),ROW($M$164)-ROW($M23)-1,MATCH(O$13,OFFSET($M23,1,0,ROW($M$164)-ROW($M23)-1),0)-1),0))</f>
        <v>2</v>
      </c>
      <c r="P23" s="193">
        <f ca="1">IF($F24=-1,0,IF(P$13&lt;=$M23,IF(ISERROR(MATCH(P$13,OFFSET($M23,1,0,ROW($M$164)-ROW($M23)-1),0)),ROW($M$164)-ROW($M23)-1,MATCH(P$13,OFFSET($M23,1,0,ROW($M$164)-ROW($M23)-1),0)-1),0))</f>
        <v>0</v>
      </c>
      <c r="Q23" s="193">
        <f ca="1">IF($F24=-1,0,IF(Q$13&lt;=$M23,IF(ISERROR(MATCH(Q$13,OFFSET($M23,1,0,ROW($M$164)-ROW($M23)-1),0)),ROW($M$164)-ROW($M23)-1,MATCH(Q$13,OFFSET($M23,1,0,ROW($M$164)-ROW($M23)-1),0)-1),0))</f>
        <v>0</v>
      </c>
      <c r="R23" s="193">
        <f t="shared" ref="R23" ca="1" si="23">MIN(OFFSET(M23,0,1,,M23))</f>
        <v>2</v>
      </c>
      <c r="S23" s="194">
        <f ca="1">IF($F24=0,OFFSET(ORÇAMENTO!X$15,$F23,0),IF($F24&lt;&gt;-1,OFFSET(QCI!$O$13,$F24,0),""))</f>
        <v>8450.51</v>
      </c>
      <c r="T23" s="195" t="s">
        <v>785</v>
      </c>
      <c r="U23" s="188" cm="1">
        <f t="array" aca="1" ref="U23" ca="1">IF(AND($R23=2,ACOMPANHAMENTO="BM"),ROUND(U24,4),U25/$S23)</f>
        <v>1</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SUMIF(CÁLCULO!$AM$15:$AW$44,CRONO!E$12,CÁLCULO!$AB$15:$AL$44)/(ORÇAMENTO!$X$15-CÁLCULO.TotalAdmLocal)*CRONO!$F25,
                        0),
                 E24*$S23),
          SUMIF(OFFSET($S25,1,0,$R23-2),($M23+1)&amp;"$",OFFSET(E25,1,0,$R23-2)))</f>
        <v>8450.51</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SUMIF(CÁLCULO!$AM$15:$AW$44,CRONO!U$12,CÁLCULO!$AB$15:$AL$44)/(ORÇAMENTO!$X$15-CÁLCULO.TotalAdmLocal)*CRONO!$F25,
                        0),
                 U24*$S23),
          SUMIF(OFFSET($S25,1,0,$R23-2),($M23+1)&amp;"$",OFFSET(U25,1,0,$R23-2)))</f>
        <v>8450.51</v>
      </c>
      <c r="V25" s="202" cm="1">
        <f t="array" aca="1" ref="V25" ca="1">IF($R23=2,
         IF(AND(ACOMPANHAMENTO="PLE",ISNUMBER($F23)),
                SUMIF((OFFSET(CÁLCULO!$AM$15:$AW$15,$F23,0,OFFSET(ORÇAMENTO!$D$15,CRONO!$F23,0))),CRONO!V$12,OFFSET(CÁLCULO!$AB$15:$AL$15,$F23,0,OFFSET(ORÇAMENTO!$D$15,CRONO!$F23,0)))
                +IF(AND($F25&lt;&gt;"",$F25&lt;&gt;0),
                        SUMIF(CÁLCULO!$AM$15:$AW$44,CRONO!V$12,CÁLCULO!$AB$15:$AL$44)/(ORÇAMENTO!$X$15-CÁLCULO.TotalAdmLocal)*CRONO!$F25,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SUMIF(CÁLCULO!$AM$15:$AW$44,CRONO!W$12,CÁLCULO!$AB$15:$AL$44)/(ORÇAMENTO!$X$15-CÁLCULO.TotalAdmLocal)*CRONO!$F25,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SUMIF(CÁLCULO!$AM$15:$AW$44,CRONO!X$12,CÁLCULO!$AB$15:$AL$44)/(ORÇAMENTO!$X$15-CÁLCULO.TotalAdmLocal)*CRONO!$F25,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SUMIF(CÁLCULO!$AM$15:$AW$44,CRONO!Y$12,CÁLCULO!$AB$15:$AL$44)/(ORÇAMENTO!$X$15-CÁLCULO.TotalAdmLocal)*CRONO!$F25,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SUMIF(CÁLCULO!$AM$15:$AW$44,CRONO!Z$12,CÁLCULO!$AB$15:$AL$44)/(ORÇAMENTO!$X$15-CÁLCULO.TotalAdmLocal)*CRONO!$F25,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SUMIF(CÁLCULO!$AM$15:$AW$44,CRONO!AA$12,CÁLCULO!$AB$15:$AL$44)/(ORÇAMENTO!$X$15-CÁLCULO.TotalAdmLocal)*CRONO!$F25,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SUMIF(CÁLCULO!$AM$15:$AW$44,CRONO!AB$12,CÁLCULO!$AB$15:$AL$44)/(ORÇAMENTO!$X$15-CÁLCULO.TotalAdmLocal)*CRONO!$F25,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SUMIF(CÁLCULO!$AM$15:$AW$44,CRONO!AC$12,CÁLCULO!$AB$15:$AL$44)/(ORÇAMENTO!$X$15-CÁLCULO.TotalAdmLocal)*CRONO!$F25,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SUMIF(CÁLCULO!$AM$15:$AW$44,CRONO!AD$12,CÁLCULO!$AB$15:$AL$44)/(ORÇAMENTO!$X$15-CÁLCULO.TotalAdmLocal)*CRONO!$F25,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SUMIF(CÁLCULO!$AM$15:$AW$44,CRONO!AE$12,CÁLCULO!$AB$15:$AL$44)/(ORÇAMENTO!$X$15-CÁLCULO.TotalAdmLocal)*CRONO!$F25,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SUMIF(CÁLCULO!$AM$15:$AW$44,CRONO!AF$12,CÁLCULO!$AB$15:$AL$44)/(ORÇAMENTO!$X$15-CÁLCULO.TotalAdmLocal)*CRONO!$F25,
                        0),
                 AF24*$S23),
          SUMIF(OFFSET($S25,1,0,$R23-2),($M23+1)&amp;"$",OFFSET(AF25,1,0,$R23-2)))</f>
        <v>0</v>
      </c>
      <c r="AG25" s="534"/>
    </row>
    <row r="26" spans="1:33" x14ac:dyDescent="0.2">
      <c r="A26" s="186" t="str">
        <f t="shared" ref="A26" ca="1" si="26">IF($M26&gt;1,_xlfn.CONCAT($I26," ",$J26),"")</f>
        <v xml:space="preserve">1.4. Pavimentação </v>
      </c>
      <c r="B26" s="185">
        <f t="shared" ref="B26" ca="1" si="27">OFFSET(B26,-3,0)+1</f>
        <v>5</v>
      </c>
      <c r="C26" s="185">
        <f ca="1">IF($R26&lt;&gt;2,0,IF($S26=0,1,IF(F27&gt;0,OFFSET(QCI!$M$13,SUBSTITUTE(F27,".",""),0),OFFSET(ORÇAMENTO!$AA$15,CRONO!$F26,0))/$S26))</f>
        <v>8.1571256327400213E-2</v>
      </c>
      <c r="D26" s="185">
        <f ca="1">IF($R26&lt;&gt;2,0,IF($S26=0,1,IF(F27&gt;0,OFFSET(QCI!$N$13,SUBSTITUTE(F27,".",""),0),OFFSET(ORÇAMENTO!$AB$15,CRONO!$F26,0))/$S26))</f>
        <v>0</v>
      </c>
      <c r="E26" s="188" cm="1">
        <f t="array" aca="1" ref="E26" ca="1">IF(AND($R26=2,ACOMPANHAMENTO="BM"),ROUND(E27,4),E28/$S26)</f>
        <v>0.76251579228151367</v>
      </c>
      <c r="F26" s="185" cm="1">
        <f t="array" aca="1" ref="F26" ca="1">IF(B26&lt;=ORÇAMENTO.MáximoListaCrono,MATCH(B26,ORÇAMENTO.ListaCrono,0),NA())</f>
        <v>15</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 xml:space="preserve">Pavimentação </v>
      </c>
      <c r="K26" s="191"/>
      <c r="L26" s="191"/>
      <c r="M26" s="192">
        <f ca="1">IF($F27=0,OFFSET(ORÇAMENTO!C$15,$F26,0),1)</f>
        <v>2</v>
      </c>
      <c r="N26" s="193">
        <f ca="1">IF($F27=-1,0,IF(N$13&lt;=$M26,IF(ISERROR(MATCH(N$13,OFFSET($M26,1,0,ROW($M$164)-ROW($M26)-1),0)),ROW($M$164)-ROW($M26)-1,MATCH(N$13,OFFSET($M26,1,0,ROW($M$164)-ROW($M26)-1),0)-1),0))</f>
        <v>8</v>
      </c>
      <c r="O26" s="193">
        <f ca="1">IF($F27=-1,0,IF(O$13&lt;=$M26,IF(ISERROR(MATCH(O$13,OFFSET($M26,1,0,ROW($M$164)-ROW($M26)-1),0)),ROW($M$164)-ROW($M26)-1,MATCH(O$13,OFFSET($M26,1,0,ROW($M$164)-ROW($M26)-1),0)-1),0))</f>
        <v>2</v>
      </c>
      <c r="P26" s="193">
        <f ca="1">IF($F27=-1,0,IF(P$13&lt;=$M26,IF(ISERROR(MATCH(P$13,OFFSET($M26,1,0,ROW($M$164)-ROW($M26)-1),0)),ROW($M$164)-ROW($M26)-1,MATCH(P$13,OFFSET($M26,1,0,ROW($M$164)-ROW($M26)-1),0)-1),0))</f>
        <v>0</v>
      </c>
      <c r="Q26" s="193">
        <f ca="1">IF($F27=-1,0,IF(Q$13&lt;=$M26,IF(ISERROR(MATCH(Q$13,OFFSET($M26,1,0,ROW($M$164)-ROW($M26)-1),0)),ROW($M$164)-ROW($M26)-1,MATCH(Q$13,OFFSET($M26,1,0,ROW($M$164)-ROW($M26)-1),0)-1),0))</f>
        <v>0</v>
      </c>
      <c r="R26" s="193">
        <f t="shared" ref="R26" ca="1" si="29">MIN(OFFSET(M26,0,1,,M26))</f>
        <v>2</v>
      </c>
      <c r="S26" s="194">
        <f ca="1">IF($F27=0,OFFSET(ORÇAMENTO!X$15,$F26,0),IF($F27&lt;&gt;-1,OFFSET(QCI!$O$13,$F27,0),""))</f>
        <v>291740.62</v>
      </c>
      <c r="T26" s="195" t="s">
        <v>785</v>
      </c>
      <c r="U26" s="188" cm="1">
        <f t="array" aca="1" ref="U26" ca="1">IF(AND($R26=2,ACOMPANHAMENTO="BM"),ROUND(U27,4),U28/$S26)</f>
        <v>0.76251579228151367</v>
      </c>
      <c r="V26" s="188" cm="1">
        <f t="array" aca="1" ref="V26" ca="1">IF(AND($R26=2,ACOMPANHAMENTO="BM"),ROUND(V27,4),V28/$S26)</f>
        <v>0.23748420771848641</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SUMIF(CÁLCULO!$AM$15:$AW$44,CRONO!E$12,CÁLCULO!$AB$15:$AL$44)/(ORÇAMENTO!$X$15-CÁLCULO.TotalAdmLocal)*CRONO!$F28,
                        0),
                 E27*$S26),
          SUMIF(OFFSET($S28,1,0,$R26-2),($M26+1)&amp;"$",OFFSET(E28,1,0,$R26-2)))</f>
        <v>222456.83000000002</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SUMIF(CÁLCULO!$AM$15:$AW$44,CRONO!U$12,CÁLCULO!$AB$15:$AL$44)/(ORÇAMENTO!$X$15-CÁLCULO.TotalAdmLocal)*CRONO!$F28,
                        0),
                 U27*$S26),
          SUMIF(OFFSET($S28,1,0,$R26-2),($M26+1)&amp;"$",OFFSET(U28,1,0,$R26-2)))</f>
        <v>222456.83000000002</v>
      </c>
      <c r="V28" s="202" cm="1">
        <f t="array" aca="1" ref="V28" ca="1">IF($R26=2,
         IF(AND(ACOMPANHAMENTO="PLE",ISNUMBER($F26)),
                SUMIF((OFFSET(CÁLCULO!$AM$15:$AW$15,$F26,0,OFFSET(ORÇAMENTO!$D$15,CRONO!$F26,0))),CRONO!V$12,OFFSET(CÁLCULO!$AB$15:$AL$15,$F26,0,OFFSET(ORÇAMENTO!$D$15,CRONO!$F26,0)))
                +IF(AND($F28&lt;&gt;"",$F28&lt;&gt;0),
                        SUMIF(CÁLCULO!$AM$15:$AW$44,CRONO!V$12,CÁLCULO!$AB$15:$AL$44)/(ORÇAMENTO!$X$15-CÁLCULO.TotalAdmLocal)*CRONO!$F28,
                        0),
                 V27*$S26),
          SUMIF(OFFSET($S28,1,0,$R26-2),($M26+1)&amp;"$",OFFSET(V28,1,0,$R26-2)))</f>
        <v>69283.790000000008</v>
      </c>
      <c r="W28" s="202" cm="1">
        <f t="array" aca="1" ref="W28" ca="1">IF($R26=2,
         IF(AND(ACOMPANHAMENTO="PLE",ISNUMBER($F26)),
                SUMIF((OFFSET(CÁLCULO!$AM$15:$AW$15,$F26,0,OFFSET(ORÇAMENTO!$D$15,CRONO!$F26,0))),CRONO!W$12,OFFSET(CÁLCULO!$AB$15:$AL$15,$F26,0,OFFSET(ORÇAMENTO!$D$15,CRONO!$F26,0)))
                +IF(AND($F28&lt;&gt;"",$F28&lt;&gt;0),
                        SUMIF(CÁLCULO!$AM$15:$AW$44,CRONO!W$12,CÁLCULO!$AB$15:$AL$44)/(ORÇAMENTO!$X$15-CÁLCULO.TotalAdmLocal)*CRONO!$F28,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SUMIF(CÁLCULO!$AM$15:$AW$44,CRONO!X$12,CÁLCULO!$AB$15:$AL$44)/(ORÇAMENTO!$X$15-CÁLCULO.TotalAdmLocal)*CRONO!$F28,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SUMIF(CÁLCULO!$AM$15:$AW$44,CRONO!Y$12,CÁLCULO!$AB$15:$AL$44)/(ORÇAMENTO!$X$15-CÁLCULO.TotalAdmLocal)*CRONO!$F28,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SUMIF(CÁLCULO!$AM$15:$AW$44,CRONO!Z$12,CÁLCULO!$AB$15:$AL$44)/(ORÇAMENTO!$X$15-CÁLCULO.TotalAdmLocal)*CRONO!$F28,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SUMIF(CÁLCULO!$AM$15:$AW$44,CRONO!AA$12,CÁLCULO!$AB$15:$AL$44)/(ORÇAMENTO!$X$15-CÁLCULO.TotalAdmLocal)*CRONO!$F28,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SUMIF(CÁLCULO!$AM$15:$AW$44,CRONO!AB$12,CÁLCULO!$AB$15:$AL$44)/(ORÇAMENTO!$X$15-CÁLCULO.TotalAdmLocal)*CRONO!$F28,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SUMIF(CÁLCULO!$AM$15:$AW$44,CRONO!AC$12,CÁLCULO!$AB$15:$AL$44)/(ORÇAMENTO!$X$15-CÁLCULO.TotalAdmLocal)*CRONO!$F28,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SUMIF(CÁLCULO!$AM$15:$AW$44,CRONO!AD$12,CÁLCULO!$AB$15:$AL$44)/(ORÇAMENTO!$X$15-CÁLCULO.TotalAdmLocal)*CRONO!$F28,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SUMIF(CÁLCULO!$AM$15:$AW$44,CRONO!AE$12,CÁLCULO!$AB$15:$AL$44)/(ORÇAMENTO!$X$15-CÁLCULO.TotalAdmLocal)*CRONO!$F28,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SUMIF(CÁLCULO!$AM$15:$AW$44,CRONO!AF$12,CÁLCULO!$AB$15:$AL$44)/(ORÇAMENTO!$X$15-CÁLCULO.TotalAdmLocal)*CRONO!$F28,
                        0),
                 AF27*$S26),
          SUMIF(OFFSET($S28,1,0,$R26-2),($M26+1)&amp;"$",OFFSET(AF28,1,0,$R26-2)))</f>
        <v>0</v>
      </c>
      <c r="AG28" s="534"/>
    </row>
    <row r="29" spans="1:33" x14ac:dyDescent="0.2">
      <c r="A29" s="186" t="str">
        <f t="shared" ref="A29" ca="1" si="32">IF($M29&gt;1,_xlfn.CONCAT($I29," ",$J29),"")</f>
        <v>1.5. Materiais Asfálticos BDI 15,00%</v>
      </c>
      <c r="B29" s="185">
        <f t="shared" ref="B29" ca="1" si="33">OFFSET(B29,-3,0)+1</f>
        <v>6</v>
      </c>
      <c r="C29" s="185">
        <f ca="1">IF($R29&lt;&gt;2,0,IF($S29=0,1,IF(F30&gt;0,OFFSET(QCI!$M$13,SUBSTITUTE(F30,".",""),0),OFFSET(ORÇAMENTO!$AA$15,CRONO!$F29,0))/$S29))</f>
        <v>8.1571256327400213E-2</v>
      </c>
      <c r="D29" s="185">
        <f ca="1">IF($R29&lt;&gt;2,0,IF($S29=0,1,IF(F30&gt;0,OFFSET(QCI!$N$13,SUBSTITUTE(F30,".",""),0),OFFSET(ORÇAMENTO!$AB$15,CRONO!$F29,0))/$S29))</f>
        <v>0</v>
      </c>
      <c r="E29" s="188" cm="1">
        <f t="array" aca="1" ref="E29" ca="1">IF(AND($R29=2,ACOMPANHAMENTO="BM"),ROUND(E30,4),E31/$S29)</f>
        <v>0.18442447315809135</v>
      </c>
      <c r="F29" s="185" cm="1">
        <f t="array" aca="1" ref="F29" ca="1">IF(B29&lt;=ORÇAMENTO.MáximoListaCrono,MATCH(B29,ORÇAMENTO.ListaCrono,0),NA())</f>
        <v>22</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Materiais Asfálticos BDI 15,00%</v>
      </c>
      <c r="K29" s="191"/>
      <c r="L29" s="191"/>
      <c r="M29" s="192">
        <f ca="1">IF($F30=0,OFFSET(ORÇAMENTO!C$15,$F29,0),1)</f>
        <v>2</v>
      </c>
      <c r="N29" s="193">
        <f ca="1">IF($F30=-1,0,IF(N$13&lt;=$M29,IF(ISERROR(MATCH(N$13,OFFSET($M29,1,0,ROW($M$164)-ROW($M29)-1),0)),ROW($M$164)-ROW($M29)-1,MATCH(N$13,OFFSET($M29,1,0,ROW($M$164)-ROW($M29)-1),0)-1),0))</f>
        <v>5</v>
      </c>
      <c r="O29" s="193">
        <f ca="1">IF($F30=-1,0,IF(O$13&lt;=$M29,IF(ISERROR(MATCH(O$13,OFFSET($M29,1,0,ROW($M$164)-ROW($M29)-1),0)),ROW($M$164)-ROW($M29)-1,MATCH(O$13,OFFSET($M29,1,0,ROW($M$164)-ROW($M29)-1),0)-1),0))</f>
        <v>2</v>
      </c>
      <c r="P29" s="193">
        <f ca="1">IF($F30=-1,0,IF(P$13&lt;=$M29,IF(ISERROR(MATCH(P$13,OFFSET($M29,1,0,ROW($M$164)-ROW($M29)-1),0)),ROW($M$164)-ROW($M29)-1,MATCH(P$13,OFFSET($M29,1,0,ROW($M$164)-ROW($M29)-1),0)-1),0))</f>
        <v>0</v>
      </c>
      <c r="Q29" s="193">
        <f ca="1">IF($F30=-1,0,IF(Q$13&lt;=$M29,IF(ISERROR(MATCH(Q$13,OFFSET($M29,1,0,ROW($M$164)-ROW($M29)-1),0)),ROW($M$164)-ROW($M29)-1,MATCH(Q$13,OFFSET($M29,1,0,ROW($M$164)-ROW($M29)-1),0)-1),0))</f>
        <v>0</v>
      </c>
      <c r="R29" s="193">
        <f t="shared" ref="R29" ca="1" si="35">MIN(OFFSET(M29,0,1,,M29))</f>
        <v>2</v>
      </c>
      <c r="S29" s="194">
        <f ca="1">IF($F30=0,OFFSET(ORÇAMENTO!X$15,$F29,0),IF($F30&lt;&gt;-1,OFFSET(QCI!$O$13,$F30,0),""))</f>
        <v>93104.78</v>
      </c>
      <c r="T29" s="195" t="s">
        <v>785</v>
      </c>
      <c r="U29" s="188" cm="1">
        <f t="array" aca="1" ref="U29" ca="1">IF(AND($R29=2,ACOMPANHAMENTO="BM"),ROUND(U30,4),U31/$S29)</f>
        <v>0.18442447315809135</v>
      </c>
      <c r="V29" s="188" cm="1">
        <f t="array" aca="1" ref="V29" ca="1">IF(AND($R29=2,ACOMPANHAMENTO="BM"),ROUND(V30,4),V31/$S29)</f>
        <v>0.81557552684190859</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SUMIF(CÁLCULO!$AM$15:$AW$44,CRONO!E$12,CÁLCULO!$AB$15:$AL$44)/(ORÇAMENTO!$X$15-CÁLCULO.TotalAdmLocal)*CRONO!$F31,
                        0),
                 E30*$S29),
          SUMIF(OFFSET($S31,1,0,$R29-2),($M29+1)&amp;"$",OFFSET(E31,1,0,$R29-2)))</f>
        <v>17170.8</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SUMIF(CÁLCULO!$AM$15:$AW$44,CRONO!U$12,CÁLCULO!$AB$15:$AL$44)/(ORÇAMENTO!$X$15-CÁLCULO.TotalAdmLocal)*CRONO!$F31,
                        0),
                 U30*$S29),
          SUMIF(OFFSET($S31,1,0,$R29-2),($M29+1)&amp;"$",OFFSET(U31,1,0,$R29-2)))</f>
        <v>17170.8</v>
      </c>
      <c r="V31" s="202" cm="1">
        <f t="array" aca="1" ref="V31" ca="1">IF($R29=2,
         IF(AND(ACOMPANHAMENTO="PLE",ISNUMBER($F29)),
                SUMIF((OFFSET(CÁLCULO!$AM$15:$AW$15,$F29,0,OFFSET(ORÇAMENTO!$D$15,CRONO!$F29,0))),CRONO!V$12,OFFSET(CÁLCULO!$AB$15:$AL$15,$F29,0,OFFSET(ORÇAMENTO!$D$15,CRONO!$F29,0)))
                +IF(AND($F31&lt;&gt;"",$F31&lt;&gt;0),
                        SUMIF(CÁLCULO!$AM$15:$AW$44,CRONO!V$12,CÁLCULO!$AB$15:$AL$44)/(ORÇAMENTO!$X$15-CÁLCULO.TotalAdmLocal)*CRONO!$F31,
                        0),
                 V30*$S29),
          SUMIF(OFFSET($S31,1,0,$R29-2),($M29+1)&amp;"$",OFFSET(V31,1,0,$R29-2)))</f>
        <v>75933.98</v>
      </c>
      <c r="W31" s="202" cm="1">
        <f t="array" aca="1" ref="W31" ca="1">IF($R29=2,
         IF(AND(ACOMPANHAMENTO="PLE",ISNUMBER($F29)),
                SUMIF((OFFSET(CÁLCULO!$AM$15:$AW$15,$F29,0,OFFSET(ORÇAMENTO!$D$15,CRONO!$F29,0))),CRONO!W$12,OFFSET(CÁLCULO!$AB$15:$AL$15,$F29,0,OFFSET(ORÇAMENTO!$D$15,CRONO!$F29,0)))
                +IF(AND($F31&lt;&gt;"",$F31&lt;&gt;0),
                        SUMIF(CÁLCULO!$AM$15:$AW$44,CRONO!W$12,CÁLCULO!$AB$15:$AL$44)/(ORÇAMENTO!$X$15-CÁLCULO.TotalAdmLocal)*CRONO!$F31,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SUMIF(CÁLCULO!$AM$15:$AW$44,CRONO!X$12,CÁLCULO!$AB$15:$AL$44)/(ORÇAMENTO!$X$15-CÁLCULO.TotalAdmLocal)*CRONO!$F31,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SUMIF(CÁLCULO!$AM$15:$AW$44,CRONO!Y$12,CÁLCULO!$AB$15:$AL$44)/(ORÇAMENTO!$X$15-CÁLCULO.TotalAdmLocal)*CRONO!$F31,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SUMIF(CÁLCULO!$AM$15:$AW$44,CRONO!Z$12,CÁLCULO!$AB$15:$AL$44)/(ORÇAMENTO!$X$15-CÁLCULO.TotalAdmLocal)*CRONO!$F31,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SUMIF(CÁLCULO!$AM$15:$AW$44,CRONO!AA$12,CÁLCULO!$AB$15:$AL$44)/(ORÇAMENTO!$X$15-CÁLCULO.TotalAdmLocal)*CRONO!$F31,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SUMIF(CÁLCULO!$AM$15:$AW$44,CRONO!AB$12,CÁLCULO!$AB$15:$AL$44)/(ORÇAMENTO!$X$15-CÁLCULO.TotalAdmLocal)*CRONO!$F31,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SUMIF(CÁLCULO!$AM$15:$AW$44,CRONO!AC$12,CÁLCULO!$AB$15:$AL$44)/(ORÇAMENTO!$X$15-CÁLCULO.TotalAdmLocal)*CRONO!$F31,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SUMIF(CÁLCULO!$AM$15:$AW$44,CRONO!AD$12,CÁLCULO!$AB$15:$AL$44)/(ORÇAMENTO!$X$15-CÁLCULO.TotalAdmLocal)*CRONO!$F31,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SUMIF(CÁLCULO!$AM$15:$AW$44,CRONO!AE$12,CÁLCULO!$AB$15:$AL$44)/(ORÇAMENTO!$X$15-CÁLCULO.TotalAdmLocal)*CRONO!$F31,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SUMIF(CÁLCULO!$AM$15:$AW$44,CRONO!AF$12,CÁLCULO!$AB$15:$AL$44)/(ORÇAMENTO!$X$15-CÁLCULO.TotalAdmLocal)*CRONO!$F31,
                        0),
                 AF30*$S29),
          SUMIF(OFFSET($S31,1,0,$R29-2),($M29+1)&amp;"$",OFFSET(AF31,1,0,$R29-2)))</f>
        <v>0</v>
      </c>
      <c r="AG31" s="534"/>
    </row>
    <row r="32" spans="1:33" x14ac:dyDescent="0.2">
      <c r="A32" s="186" t="str">
        <f t="shared" ref="A32" ca="1" si="38">IF($M32&gt;1,_xlfn.CONCAT($I32," ",$J32),"")</f>
        <v>1.6. Sinalização Viária</v>
      </c>
      <c r="B32" s="185">
        <f t="shared" ref="B32" ca="1" si="39">OFFSET(B32,-3,0)+1</f>
        <v>7</v>
      </c>
      <c r="C32" s="185">
        <f ca="1">IF($R32&lt;&gt;2,0,IF($S32=0,1,IF(F33&gt;0,OFFSET(QCI!$M$13,SUBSTITUTE(F33,".",""),0),OFFSET(ORÇAMENTO!$AA$15,CRONO!$F32,0))/$S32))</f>
        <v>8.1571256327400213E-2</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27</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Sinalização Viária</v>
      </c>
      <c r="K32" s="191"/>
      <c r="L32" s="191"/>
      <c r="M32" s="192">
        <f ca="1">IF($F33=0,OFFSET(ORÇAMENTO!C$15,$F32,0),1)</f>
        <v>2</v>
      </c>
      <c r="N32" s="193">
        <f ca="1">IF($F33=-1,0,IF(N$13&lt;=$M32,IF(ISERROR(MATCH(N$13,OFFSET($M32,1,0,ROW($M$164)-ROW($M32)-1),0)),ROW($M$164)-ROW($M32)-1,MATCH(N$13,OFFSET($M32,1,0,ROW($M$164)-ROW($M32)-1),0)-1),0))</f>
        <v>2</v>
      </c>
      <c r="O32" s="193">
        <f ca="1">IF($F33=-1,0,IF(O$13&lt;=$M32,IF(ISERROR(MATCH(O$13,OFFSET($M32,1,0,ROW($M$164)-ROW($M32)-1),0)),ROW($M$164)-ROW($M32)-1,MATCH(O$13,OFFSET($M32,1,0,ROW($M$164)-ROW($M32)-1),0)-1),0))</f>
        <v>131</v>
      </c>
      <c r="P32" s="193">
        <f ca="1">IF($F33=-1,0,IF(P$13&lt;=$M32,IF(ISERROR(MATCH(P$13,OFFSET($M32,1,0,ROW($M$164)-ROW($M32)-1),0)),ROW($M$164)-ROW($M32)-1,MATCH(P$13,OFFSET($M32,1,0,ROW($M$164)-ROW($M32)-1),0)-1),0))</f>
        <v>0</v>
      </c>
      <c r="Q32" s="193">
        <f ca="1">IF($F33=-1,0,IF(Q$13&lt;=$M32,IF(ISERROR(MATCH(Q$13,OFFSET($M32,1,0,ROW($M$164)-ROW($M32)-1),0)),ROW($M$164)-ROW($M32)-1,MATCH(Q$13,OFFSET($M32,1,0,ROW($M$164)-ROW($M32)-1),0)-1),0))</f>
        <v>0</v>
      </c>
      <c r="R32" s="193">
        <f t="shared" ref="R32" ca="1" si="41">MIN(OFFSET(M32,0,1,,M32))</f>
        <v>2</v>
      </c>
      <c r="S32" s="194">
        <f ca="1">IF($F33=0,OFFSET(ORÇAMENTO!X$15,$F32,0),IF($F33&lt;&gt;-1,OFFSET(QCI!$O$13,$F33,0),""))</f>
        <v>2786.4</v>
      </c>
      <c r="T32" s="195" t="s">
        <v>785</v>
      </c>
      <c r="U32" s="188" cm="1">
        <f t="array" aca="1" ref="U32" ca="1">IF(AND($R32=2,ACOMPANHAMENTO="BM"),ROUND(U33,4),U34/$S32)</f>
        <v>0</v>
      </c>
      <c r="V32" s="188" cm="1">
        <f t="array" aca="1" ref="V32" ca="1">IF(AND($R32=2,ACOMPANHAMENTO="BM"),ROUND(V33,4),V34/$S32)</f>
        <v>1</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SUMIF(CÁLCULO!$AM$15:$AW$44,CRONO!E$12,CÁLCULO!$AB$15:$AL$44)/(ORÇAMENTO!$X$15-CÁLCULO.TotalAdmLocal)*CRONO!$F34,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SUMIF(CÁLCULO!$AM$15:$AW$44,CRONO!U$12,CÁLCULO!$AB$15:$AL$44)/(ORÇAMENTO!$X$15-CÁLCULO.TotalAdmLocal)*CRONO!$F34,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SUMIF(CÁLCULO!$AM$15:$AW$44,CRONO!V$12,CÁLCULO!$AB$15:$AL$44)/(ORÇAMENTO!$X$15-CÁLCULO.TotalAdmLocal)*CRONO!$F34,
                        0),
                 V33*$S32),
          SUMIF(OFFSET($S34,1,0,$R32-2),($M32+1)&amp;"$",OFFSET(V34,1,0,$R32-2)))</f>
        <v>2786.4</v>
      </c>
      <c r="W34" s="202" cm="1">
        <f t="array" aca="1" ref="W34" ca="1">IF($R32=2,
         IF(AND(ACOMPANHAMENTO="PLE",ISNUMBER($F32)),
                SUMIF((OFFSET(CÁLCULO!$AM$15:$AW$15,$F32,0,OFFSET(ORÇAMENTO!$D$15,CRONO!$F32,0))),CRONO!W$12,OFFSET(CÁLCULO!$AB$15:$AL$15,$F32,0,OFFSET(ORÇAMENTO!$D$15,CRONO!$F32,0)))
                +IF(AND($F34&lt;&gt;"",$F34&lt;&gt;0),
                        SUMIF(CÁLCULO!$AM$15:$AW$44,CRONO!W$12,CÁLCULO!$AB$15:$AL$44)/(ORÇAMENTO!$X$15-CÁLCULO.TotalAdmLocal)*CRONO!$F34,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SUMIF(CÁLCULO!$AM$15:$AW$44,CRONO!X$12,CÁLCULO!$AB$15:$AL$44)/(ORÇAMENTO!$X$15-CÁLCULO.TotalAdmLocal)*CRONO!$F34,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SUMIF(CÁLCULO!$AM$15:$AW$44,CRONO!Y$12,CÁLCULO!$AB$15:$AL$44)/(ORÇAMENTO!$X$15-CÁLCULO.TotalAdmLocal)*CRONO!$F34,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SUMIF(CÁLCULO!$AM$15:$AW$44,CRONO!Z$12,CÁLCULO!$AB$15:$AL$44)/(ORÇAMENTO!$X$15-CÁLCULO.TotalAdmLocal)*CRONO!$F34,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SUMIF(CÁLCULO!$AM$15:$AW$44,CRONO!AA$12,CÁLCULO!$AB$15:$AL$44)/(ORÇAMENTO!$X$15-CÁLCULO.TotalAdmLocal)*CRONO!$F34,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SUMIF(CÁLCULO!$AM$15:$AW$44,CRONO!AB$12,CÁLCULO!$AB$15:$AL$44)/(ORÇAMENTO!$X$15-CÁLCULO.TotalAdmLocal)*CRONO!$F34,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SUMIF(CÁLCULO!$AM$15:$AW$44,CRONO!AC$12,CÁLCULO!$AB$15:$AL$44)/(ORÇAMENTO!$X$15-CÁLCULO.TotalAdmLocal)*CRONO!$F34,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SUMIF(CÁLCULO!$AM$15:$AW$44,CRONO!AD$12,CÁLCULO!$AB$15:$AL$44)/(ORÇAMENTO!$X$15-CÁLCULO.TotalAdmLocal)*CRONO!$F34,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SUMIF(CÁLCULO!$AM$15:$AW$44,CRONO!AE$12,CÁLCULO!$AB$15:$AL$44)/(ORÇAMENTO!$X$15-CÁLCULO.TotalAdmLocal)*CRONO!$F34,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SUMIF(CÁLCULO!$AM$15:$AW$44,CRONO!AF$12,CÁLCULO!$AB$15:$AL$44)/(ORÇAMENTO!$X$15-CÁLCULO.TotalAdmLocal)*CRONO!$F34,
                        0),
                 AF33*$S32),
          SUMIF(OFFSET($S34,1,0,$R32-2),($M32+1)&amp;"$",OFFSET(AF34,1,0,$R32-2)))</f>
        <v>0</v>
      </c>
      <c r="AG34" s="534"/>
    </row>
    <row r="35" spans="1:33" x14ac:dyDescent="0.2">
      <c r="A35" s="186" t="str">
        <f t="shared" ref="A35" ca="1" si="44">IF($M35&gt;1,_xlfn.CONCAT($I35," ",$J35),"")</f>
        <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t="e" cm="1">
        <f t="array" aca="1" ref="E35" ca="1">IF(AND($R35=2,ACOMPANHAMENTO="BM"),ROUND(E36,4),E37/$S35)</f>
        <v>#DIV/0!</v>
      </c>
      <c r="F35" s="185" t="e" cm="1">
        <f t="array" aca="1" ref="F35" ca="1">IF(B35&lt;=ORÇAMENTO.MáximoListaCrono,MATCH(B35,ORÇAMENTO.ListaCrono,0),NA())</f>
        <v>#N/A</v>
      </c>
      <c r="G35" s="185" t="str">
        <f t="shared" ref="G35" ca="1" si="46">IF(AND($F36&lt;&gt;-1,$S35&gt;0),"F","")</f>
        <v/>
      </c>
      <c r="H35" s="189" t="str" cm="1">
        <f t="array" aca="1" ref="H35" ca="1">IF(OR(S35=0,S35=""),"Linha",IF(AND(OR(ACOMPANHAMENTO="PLE",$R35&lt;&gt;2),$F36=0),"Linha",ROUND(1-SUM(U35:AG35),4)))</f>
        <v>Linha</v>
      </c>
      <c r="I35" s="190">
        <f ca="1">IF($F36=0,OFFSET(ORÇAMENTO!O$15,$F35,0),IF($F36&lt;&gt;-1,OFFSET(QCI!$D$13,$F36,0),""))</f>
        <v>2</v>
      </c>
      <c r="J35" s="191" t="str">
        <f ca="1">IF($F36=0,OFFSET(ORÇAMENTO!R$15,$F35,0),IF($F36&lt;&gt;-1,OFFSET(QCI!$G$13,$F36,0),""))</f>
        <v/>
      </c>
      <c r="K35" s="191"/>
      <c r="L35" s="191"/>
      <c r="M35" s="192">
        <f ca="1">IF($F36=0,OFFSET(ORÇAMENTO!C$15,$F35,0),1)</f>
        <v>1</v>
      </c>
      <c r="N35" s="193">
        <f ca="1">IF($F36=-1,0,IF(N$13&lt;=$M35,IF(ISERROR(MATCH(N$13,OFFSET($M35,1,0,ROW($M$164)-ROW($M35)-1),0)),ROW($M$164)-ROW($M35)-1,MATCH(N$13,OFFSET($M35,1,0,ROW($M$164)-ROW($M35)-1),0)-1),0))</f>
        <v>2</v>
      </c>
      <c r="O35" s="193">
        <f ca="1">IF($F36=-1,0,IF(O$13&lt;=$M35,IF(ISERROR(MATCH(O$13,OFFSET($M35,1,0,ROW($M$164)-ROW($M35)-1),0)),ROW($M$164)-ROW($M35)-1,MATCH(O$13,OFFSET($M35,1,0,ROW($M$164)-ROW($M35)-1),0)-1),0))</f>
        <v>0</v>
      </c>
      <c r="P35" s="193">
        <f ca="1">IF($F36=-1,0,IF(P$13&lt;=$M35,IF(ISERROR(MATCH(P$13,OFFSET($M35,1,0,ROW($M$164)-ROW($M35)-1),0)),ROW($M$164)-ROW($M35)-1,MATCH(P$13,OFFSET($M35,1,0,ROW($M$164)-ROW($M35)-1),0)-1),0))</f>
        <v>0</v>
      </c>
      <c r="Q35" s="193">
        <f ca="1">IF($F36=-1,0,IF(Q$13&lt;=$M35,IF(ISERROR(MATCH(Q$13,OFFSET($M35,1,0,ROW($M$164)-ROW($M35)-1),0)),ROW($M$164)-ROW($M35)-1,MATCH(Q$13,OFFSET($M35,1,0,ROW($M$164)-ROW($M35)-1),0)-1),0))</f>
        <v>0</v>
      </c>
      <c r="R35" s="193">
        <f t="shared" ref="R35" ca="1" si="47">MIN(OFFSET(M35,0,1,,M35))</f>
        <v>2</v>
      </c>
      <c r="S35" s="194">
        <f ca="1">IF($F36=0,OFFSET(ORÇAMENTO!X$15,$F35,0),IF($F36&lt;&gt;-1,OFFSET(QCI!$O$13,$F36,0),""))</f>
        <v>0</v>
      </c>
      <c r="T35" s="195" t="s">
        <v>785</v>
      </c>
      <c r="U35" s="188" t="e" cm="1">
        <f t="array" aca="1" ref="U35" ca="1">IF(AND($R35=2,ACOMPANHAMENTO="BM"),ROUND(U36,4),U37/$S35)</f>
        <v>#DIV/0!</v>
      </c>
      <c r="V35" s="188" t="e" cm="1">
        <f t="array" aca="1" ref="V35" ca="1">IF(AND($R35=2,ACOMPANHAMENTO="BM"),ROUND(V36,4),V37/$S35)</f>
        <v>#DIV/0!</v>
      </c>
      <c r="W35" s="188" t="e" cm="1">
        <f t="array" aca="1" ref="W35" ca="1">IF(AND($R35=2,ACOMPANHAMENTO="BM"),ROUND(W36,4),W37/$S35)</f>
        <v>#DIV/0!</v>
      </c>
      <c r="X35" s="188" t="e" cm="1">
        <f t="array" aca="1" ref="X35" ca="1">IF(AND($R35=2,ACOMPANHAMENTO="BM"),ROUND(X36,4),X37/$S35)</f>
        <v>#DIV/0!</v>
      </c>
      <c r="Y35" s="188" t="e" cm="1">
        <f t="array" aca="1" ref="Y35" ca="1">IF(AND($R35=2,ACOMPANHAMENTO="BM"),ROUND(Y36,4),Y37/$S35)</f>
        <v>#DIV/0!</v>
      </c>
      <c r="Z35" s="188" t="e" cm="1">
        <f t="array" aca="1" ref="Z35" ca="1">IF(AND($R35=2,ACOMPANHAMENTO="BM"),ROUND(Z36,4),Z37/$S35)</f>
        <v>#DIV/0!</v>
      </c>
      <c r="AA35" s="188" t="e" cm="1">
        <f t="array" aca="1" ref="AA35" ca="1">IF(AND($R35=2,ACOMPANHAMENTO="BM"),ROUND(AA36,4),AA37/$S35)</f>
        <v>#DIV/0!</v>
      </c>
      <c r="AB35" s="188" t="e" cm="1">
        <f t="array" aca="1" ref="AB35" ca="1">IF(AND($R35=2,ACOMPANHAMENTO="BM"),ROUND(AB36,4),AB37/$S35)</f>
        <v>#DIV/0!</v>
      </c>
      <c r="AC35" s="188" t="e" cm="1">
        <f t="array" aca="1" ref="AC35" ca="1">IF(AND($R35=2,ACOMPANHAMENTO="BM"),ROUND(AC36,4),AC37/$S35)</f>
        <v>#DIV/0!</v>
      </c>
      <c r="AD35" s="188" t="e" cm="1">
        <f t="array" aca="1" ref="AD35" ca="1">IF(AND($R35=2,ACOMPANHAMENTO="BM"),ROUND(AD36,4),AD37/$S35)</f>
        <v>#DIV/0!</v>
      </c>
      <c r="AE35" s="188" t="e" cm="1">
        <f t="array" aca="1" ref="AE35" ca="1">IF(AND($R35=2,ACOMPANHAMENTO="BM"),ROUND(AE36,4),AE37/$S35)</f>
        <v>#DIV/0!</v>
      </c>
      <c r="AF35" s="188" t="e" cm="1">
        <f t="array" aca="1" ref="AF35" ca="1">IF(AND($R35=2,ACOMPANHAMENTO="BM"),ROUND(AF36,4),AF37/$S35)</f>
        <v>#DIV/0!</v>
      </c>
      <c r="AG35" s="534"/>
    </row>
    <row r="36" spans="1:33" ht="12.75" customHeight="1" x14ac:dyDescent="0.2">
      <c r="E36" s="587"/>
      <c r="F36" s="185">
        <f ca="1">IF(ISERROR(F35),IF(1+COUNTIF($M$13:OFFSET(M35,-1,0),1)&lt;=MAX(QCI!$D$13:$D$24),1+COUNTIF($M$13:OFFSET(M35,-1,0),1),-1),0)</f>
        <v>2</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SUMIF(CÁLCULO!$AM$15:$AW$44,CRONO!E$12,CÁLCULO!$AB$15:$AL$44)/(ORÇAMENTO!$X$15-CÁLCULO.TotalAdmLocal)*CRONO!$F37,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1$</v>
      </c>
      <c r="T37" s="205"/>
      <c r="U37" s="202" cm="1">
        <f t="array" aca="1" ref="U37" ca="1">IF($R35=2,
         IF(AND(ACOMPANHAMENTO="PLE",ISNUMBER($F35)),
                SUMIF((OFFSET(CÁLCULO!$AM$15:$AW$15,$F35,0,OFFSET(ORÇAMENTO!$D$15,CRONO!$F35,0))),CRONO!U$12,OFFSET(CÁLCULO!$AB$15:$AL$15,$F35,0,OFFSET(ORÇAMENTO!$D$15,CRONO!$F35,0)))
                +IF(AND($F37&lt;&gt;"",$F37&lt;&gt;0),
                        SUMIF(CÁLCULO!$AM$15:$AW$44,CRONO!U$12,CÁLCULO!$AB$15:$AL$44)/(ORÇAMENTO!$X$15-CÁLCULO.TotalAdmLocal)*CRONO!$F37,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SUMIF(CÁLCULO!$AM$15:$AW$44,CRONO!V$12,CÁLCULO!$AB$15:$AL$44)/(ORÇAMENTO!$X$15-CÁLCULO.TotalAdmLocal)*CRONO!$F37,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SUMIF(CÁLCULO!$AM$15:$AW$44,CRONO!W$12,CÁLCULO!$AB$15:$AL$44)/(ORÇAMENTO!$X$15-CÁLCULO.TotalAdmLocal)*CRONO!$F37,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SUMIF(CÁLCULO!$AM$15:$AW$44,CRONO!X$12,CÁLCULO!$AB$15:$AL$44)/(ORÇAMENTO!$X$15-CÁLCULO.TotalAdmLocal)*CRONO!$F37,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SUMIF(CÁLCULO!$AM$15:$AW$44,CRONO!Y$12,CÁLCULO!$AB$15:$AL$44)/(ORÇAMENTO!$X$15-CÁLCULO.TotalAdmLocal)*CRONO!$F37,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SUMIF(CÁLCULO!$AM$15:$AW$44,CRONO!Z$12,CÁLCULO!$AB$15:$AL$44)/(ORÇAMENTO!$X$15-CÁLCULO.TotalAdmLocal)*CRONO!$F37,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SUMIF(CÁLCULO!$AM$15:$AW$44,CRONO!AA$12,CÁLCULO!$AB$15:$AL$44)/(ORÇAMENTO!$X$15-CÁLCULO.TotalAdmLocal)*CRONO!$F37,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SUMIF(CÁLCULO!$AM$15:$AW$44,CRONO!AB$12,CÁLCULO!$AB$15:$AL$44)/(ORÇAMENTO!$X$15-CÁLCULO.TotalAdmLocal)*CRONO!$F37,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SUMIF(CÁLCULO!$AM$15:$AW$44,CRONO!AC$12,CÁLCULO!$AB$15:$AL$44)/(ORÇAMENTO!$X$15-CÁLCULO.TotalAdmLocal)*CRONO!$F37,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SUMIF(CÁLCULO!$AM$15:$AW$44,CRONO!AD$12,CÁLCULO!$AB$15:$AL$44)/(ORÇAMENTO!$X$15-CÁLCULO.TotalAdmLocal)*CRONO!$F37,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SUMIF(CÁLCULO!$AM$15:$AW$44,CRONO!AE$12,CÁLCULO!$AB$15:$AL$44)/(ORÇAMENTO!$X$15-CÁLCULO.TotalAdmLocal)*CRONO!$F37,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SUMIF(CÁLCULO!$AM$15:$AW$44,CRONO!AF$12,CÁLCULO!$AB$15:$AL$44)/(ORÇAMENTO!$X$15-CÁLCULO.TotalAdmLocal)*CRONO!$F37,
                        0),
                 AF36*$S35),
          SUMIF(OFFSET($S37,1,0,$R35-2),($M35+1)&amp;"$",OFFSET(AF37,1,0,$R35-2)))</f>
        <v>0</v>
      </c>
      <c r="AG37" s="534"/>
    </row>
    <row r="38" spans="1:33" x14ac:dyDescent="0.2">
      <c r="A38" s="186" t="str">
        <f t="shared" ref="A38" ca="1" si="50">IF($M38&gt;1,_xlfn.CONCAT($I38," ",$J38),"")</f>
        <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t="e" cm="1">
        <f t="array" aca="1" ref="E38" ca="1">IF(AND($R38=2,ACOMPANHAMENTO="BM"),ROUND(E39,4),E40/$S38)</f>
        <v>#DIV/0!</v>
      </c>
      <c r="F38" s="185" t="e" cm="1">
        <f t="array" aca="1" ref="F38" ca="1">IF(B38&lt;=ORÇAMENTO.MáximoListaCrono,MATCH(B38,ORÇAMENTO.ListaCrono,0),NA())</f>
        <v>#N/A</v>
      </c>
      <c r="G38" s="185" t="str">
        <f t="shared" ref="G38" ca="1" si="52">IF(AND($F39&lt;&gt;-1,$S38&gt;0),"F","")</f>
        <v/>
      </c>
      <c r="H38" s="189" t="str" cm="1">
        <f t="array" aca="1" ref="H38" ca="1">IF(OR(S38=0,S38=""),"Linha",IF(AND(OR(ACOMPANHAMENTO="PLE",$R38&lt;&gt;2),$F39=0),"Linha",ROUND(1-SUM(U38:AG38),4)))</f>
        <v>Linha</v>
      </c>
      <c r="I38" s="190">
        <f ca="1">IF($F39=0,OFFSET(ORÇAMENTO!O$15,$F38,0),IF($F39&lt;&gt;-1,OFFSET(QCI!$D$13,$F39,0),""))</f>
        <v>3</v>
      </c>
      <c r="J38" s="191" t="str">
        <f ca="1">IF($F39=0,OFFSET(ORÇAMENTO!R$15,$F38,0),IF($F39&lt;&gt;-1,OFFSET(QCI!$G$13,$F39,0),""))</f>
        <v/>
      </c>
      <c r="K38" s="191"/>
      <c r="L38" s="191"/>
      <c r="M38" s="192">
        <f ca="1">IF($F39=0,OFFSET(ORÇAMENTO!C$15,$F38,0),1)</f>
        <v>1</v>
      </c>
      <c r="N38" s="193">
        <f ca="1">IF($F39=-1,0,IF(N$13&lt;=$M38,IF(ISERROR(MATCH(N$13,OFFSET($M38,1,0,ROW($M$164)-ROW($M38)-1),0)),ROW($M$164)-ROW($M38)-1,MATCH(N$13,OFFSET($M38,1,0,ROW($M$164)-ROW($M38)-1),0)-1),0))</f>
        <v>2</v>
      </c>
      <c r="O38" s="193">
        <f ca="1">IF($F39=-1,0,IF(O$13&lt;=$M38,IF(ISERROR(MATCH(O$13,OFFSET($M38,1,0,ROW($M$164)-ROW($M38)-1),0)),ROW($M$164)-ROW($M38)-1,MATCH(O$13,OFFSET($M38,1,0,ROW($M$164)-ROW($M38)-1),0)-1),0))</f>
        <v>0</v>
      </c>
      <c r="P38" s="193">
        <f ca="1">IF($F39=-1,0,IF(P$13&lt;=$M38,IF(ISERROR(MATCH(P$13,OFFSET($M38,1,0,ROW($M$164)-ROW($M38)-1),0)),ROW($M$164)-ROW($M38)-1,MATCH(P$13,OFFSET($M38,1,0,ROW($M$164)-ROW($M38)-1),0)-1),0))</f>
        <v>0</v>
      </c>
      <c r="Q38" s="193">
        <f ca="1">IF($F39=-1,0,IF(Q$13&lt;=$M38,IF(ISERROR(MATCH(Q$13,OFFSET($M38,1,0,ROW($M$164)-ROW($M38)-1),0)),ROW($M$164)-ROW($M38)-1,MATCH(Q$13,OFFSET($M38,1,0,ROW($M$164)-ROW($M38)-1),0)-1),0))</f>
        <v>0</v>
      </c>
      <c r="R38" s="193">
        <f t="shared" ref="R38" ca="1" si="53">MIN(OFFSET(M38,0,1,,M38))</f>
        <v>2</v>
      </c>
      <c r="S38" s="194">
        <f ca="1">IF($F39=0,OFFSET(ORÇAMENTO!X$15,$F38,0),IF($F39&lt;&gt;-1,OFFSET(QCI!$O$13,$F39,0),""))</f>
        <v>0</v>
      </c>
      <c r="T38" s="195" t="s">
        <v>785</v>
      </c>
      <c r="U38" s="188" t="e" cm="1">
        <f t="array" aca="1" ref="U38" ca="1">IF(AND($R38=2,ACOMPANHAMENTO="BM"),ROUND(U39,4),U40/$S38)</f>
        <v>#DIV/0!</v>
      </c>
      <c r="V38" s="188" t="e" cm="1">
        <f t="array" aca="1" ref="V38" ca="1">IF(AND($R38=2,ACOMPANHAMENTO="BM"),ROUND(V39,4),V40/$S38)</f>
        <v>#DIV/0!</v>
      </c>
      <c r="W38" s="188" t="e" cm="1">
        <f t="array" aca="1" ref="W38" ca="1">IF(AND($R38=2,ACOMPANHAMENTO="BM"),ROUND(W39,4),W40/$S38)</f>
        <v>#DIV/0!</v>
      </c>
      <c r="X38" s="188" t="e" cm="1">
        <f t="array" aca="1" ref="X38" ca="1">IF(AND($R38=2,ACOMPANHAMENTO="BM"),ROUND(X39,4),X40/$S38)</f>
        <v>#DIV/0!</v>
      </c>
      <c r="Y38" s="188" t="e" cm="1">
        <f t="array" aca="1" ref="Y38" ca="1">IF(AND($R38=2,ACOMPANHAMENTO="BM"),ROUND(Y39,4),Y40/$S38)</f>
        <v>#DIV/0!</v>
      </c>
      <c r="Z38" s="188" t="e" cm="1">
        <f t="array" aca="1" ref="Z38" ca="1">IF(AND($R38=2,ACOMPANHAMENTO="BM"),ROUND(Z39,4),Z40/$S38)</f>
        <v>#DIV/0!</v>
      </c>
      <c r="AA38" s="188" t="e" cm="1">
        <f t="array" aca="1" ref="AA38" ca="1">IF(AND($R38=2,ACOMPANHAMENTO="BM"),ROUND(AA39,4),AA40/$S38)</f>
        <v>#DIV/0!</v>
      </c>
      <c r="AB38" s="188" t="e" cm="1">
        <f t="array" aca="1" ref="AB38" ca="1">IF(AND($R38=2,ACOMPANHAMENTO="BM"),ROUND(AB39,4),AB40/$S38)</f>
        <v>#DIV/0!</v>
      </c>
      <c r="AC38" s="188" t="e" cm="1">
        <f t="array" aca="1" ref="AC38" ca="1">IF(AND($R38=2,ACOMPANHAMENTO="BM"),ROUND(AC39,4),AC40/$S38)</f>
        <v>#DIV/0!</v>
      </c>
      <c r="AD38" s="188" t="e" cm="1">
        <f t="array" aca="1" ref="AD38" ca="1">IF(AND($R38=2,ACOMPANHAMENTO="BM"),ROUND(AD39,4),AD40/$S38)</f>
        <v>#DIV/0!</v>
      </c>
      <c r="AE38" s="188" t="e" cm="1">
        <f t="array" aca="1" ref="AE38" ca="1">IF(AND($R38=2,ACOMPANHAMENTO="BM"),ROUND(AE39,4),AE40/$S38)</f>
        <v>#DIV/0!</v>
      </c>
      <c r="AF38" s="188" t="e" cm="1">
        <f t="array" aca="1" ref="AF38" ca="1">IF(AND($R38=2,ACOMPANHAMENTO="BM"),ROUND(AF39,4),AF40/$S38)</f>
        <v>#DIV/0!</v>
      </c>
      <c r="AG38" s="534"/>
    </row>
    <row r="39" spans="1:33" ht="12.75" customHeight="1" x14ac:dyDescent="0.2">
      <c r="E39" s="587"/>
      <c r="F39" s="185">
        <f ca="1">IF(ISERROR(F38),IF(1+COUNTIF($M$13:OFFSET(M38,-1,0),1)&lt;=MAX(QCI!$D$13:$D$24),1+COUNTIF($M$13:OFFSET(M38,-1,0),1),-1),0)</f>
        <v>3</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SUMIF(CÁLCULO!$AM$15:$AW$44,CRONO!E$12,CÁLCULO!$AB$15:$AL$44)/(ORÇAMENTO!$X$15-CÁLCULO.TotalAdmLocal)*CRONO!$F40,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1$</v>
      </c>
      <c r="T40" s="205"/>
      <c r="U40" s="202" cm="1">
        <f t="array" aca="1" ref="U40" ca="1">IF($R38=2,
         IF(AND(ACOMPANHAMENTO="PLE",ISNUMBER($F38)),
                SUMIF((OFFSET(CÁLCULO!$AM$15:$AW$15,$F38,0,OFFSET(ORÇAMENTO!$D$15,CRONO!$F38,0))),CRONO!U$12,OFFSET(CÁLCULO!$AB$15:$AL$15,$F38,0,OFFSET(ORÇAMENTO!$D$15,CRONO!$F38,0)))
                +IF(AND($F40&lt;&gt;"",$F40&lt;&gt;0),
                        SUMIF(CÁLCULO!$AM$15:$AW$44,CRONO!U$12,CÁLCULO!$AB$15:$AL$44)/(ORÇAMENTO!$X$15-CÁLCULO.TotalAdmLocal)*CRONO!$F40,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SUMIF(CÁLCULO!$AM$15:$AW$44,CRONO!V$12,CÁLCULO!$AB$15:$AL$44)/(ORÇAMENTO!$X$15-CÁLCULO.TotalAdmLocal)*CRONO!$F40,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SUMIF(CÁLCULO!$AM$15:$AW$44,CRONO!W$12,CÁLCULO!$AB$15:$AL$44)/(ORÇAMENTO!$X$15-CÁLCULO.TotalAdmLocal)*CRONO!$F40,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SUMIF(CÁLCULO!$AM$15:$AW$44,CRONO!X$12,CÁLCULO!$AB$15:$AL$44)/(ORÇAMENTO!$X$15-CÁLCULO.TotalAdmLocal)*CRONO!$F40,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SUMIF(CÁLCULO!$AM$15:$AW$44,CRONO!Y$12,CÁLCULO!$AB$15:$AL$44)/(ORÇAMENTO!$X$15-CÁLCULO.TotalAdmLocal)*CRONO!$F40,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SUMIF(CÁLCULO!$AM$15:$AW$44,CRONO!Z$12,CÁLCULO!$AB$15:$AL$44)/(ORÇAMENTO!$X$15-CÁLCULO.TotalAdmLocal)*CRONO!$F40,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SUMIF(CÁLCULO!$AM$15:$AW$44,CRONO!AA$12,CÁLCULO!$AB$15:$AL$44)/(ORÇAMENTO!$X$15-CÁLCULO.TotalAdmLocal)*CRONO!$F40,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SUMIF(CÁLCULO!$AM$15:$AW$44,CRONO!AB$12,CÁLCULO!$AB$15:$AL$44)/(ORÇAMENTO!$X$15-CÁLCULO.TotalAdmLocal)*CRONO!$F40,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SUMIF(CÁLCULO!$AM$15:$AW$44,CRONO!AC$12,CÁLCULO!$AB$15:$AL$44)/(ORÇAMENTO!$X$15-CÁLCULO.TotalAdmLocal)*CRONO!$F40,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SUMIF(CÁLCULO!$AM$15:$AW$44,CRONO!AD$12,CÁLCULO!$AB$15:$AL$44)/(ORÇAMENTO!$X$15-CÁLCULO.TotalAdmLocal)*CRONO!$F40,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SUMIF(CÁLCULO!$AM$15:$AW$44,CRONO!AE$12,CÁLCULO!$AB$15:$AL$44)/(ORÇAMENTO!$X$15-CÁLCULO.TotalAdmLocal)*CRONO!$F40,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SUMIF(CÁLCULO!$AM$15:$AW$44,CRONO!AF$12,CÁLCULO!$AB$15:$AL$44)/(ORÇAMENTO!$X$15-CÁLCULO.TotalAdmLocal)*CRONO!$F40,
                        0),
                 AF39*$S38),
          SUMIF(OFFSET($S40,1,0,$R38-2),($M38+1)&amp;"$",OFFSET(AF40,1,0,$R38-2)))</f>
        <v>0</v>
      </c>
      <c r="AG40" s="534"/>
    </row>
    <row r="41" spans="1:33" x14ac:dyDescent="0.2">
      <c r="A41" s="186" t="str">
        <f t="shared" ref="A41" ca="1" si="56">IF($M41&gt;1,_xlfn.CONCAT($I41," ",$J41),"")</f>
        <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t="e" cm="1">
        <f t="array" aca="1" ref="E41" ca="1">IF(AND($R41=2,ACOMPANHAMENTO="BM"),ROUND(E42,4),E43/$S41)</f>
        <v>#DIV/0!</v>
      </c>
      <c r="F41" s="185" t="e" cm="1">
        <f t="array" aca="1" ref="F41" ca="1">IF(B41&lt;=ORÇAMENTO.MáximoListaCrono,MATCH(B41,ORÇAMENTO.ListaCrono,0),NA())</f>
        <v>#N/A</v>
      </c>
      <c r="G41" s="185" t="str">
        <f t="shared" ref="G41" ca="1" si="58">IF(AND($F42&lt;&gt;-1,$S41&gt;0),"F","")</f>
        <v/>
      </c>
      <c r="H41" s="189" t="str" cm="1">
        <f t="array" aca="1" ref="H41" ca="1">IF(OR(S41=0,S41=""),"Linha",IF(AND(OR(ACOMPANHAMENTO="PLE",$R41&lt;&gt;2),$F42=0),"Linha",ROUND(1-SUM(U41:AG41),4)))</f>
        <v>Linha</v>
      </c>
      <c r="I41" s="190">
        <f ca="1">IF($F42=0,OFFSET(ORÇAMENTO!O$15,$F41,0),IF($F42&lt;&gt;-1,OFFSET(QCI!$D$13,$F42,0),""))</f>
        <v>4</v>
      </c>
      <c r="J41" s="191" t="str">
        <f ca="1">IF($F42=0,OFFSET(ORÇAMENTO!R$15,$F41,0),IF($F42&lt;&gt;-1,OFFSET(QCI!$G$13,$F42,0),""))</f>
        <v/>
      </c>
      <c r="K41" s="191"/>
      <c r="L41" s="191"/>
      <c r="M41" s="192">
        <f ca="1">IF($F42=0,OFFSET(ORÇAMENTO!C$15,$F41,0),1)</f>
        <v>1</v>
      </c>
      <c r="N41" s="193">
        <f ca="1">IF($F42=-1,0,IF(N$13&lt;=$M41,IF(ISERROR(MATCH(N$13,OFFSET($M41,1,0,ROW($M$164)-ROW($M41)-1),0)),ROW($M$164)-ROW($M41)-1,MATCH(N$13,OFFSET($M41,1,0,ROW($M$164)-ROW($M41)-1),0)-1),0))</f>
        <v>2</v>
      </c>
      <c r="O41" s="193">
        <f ca="1">IF($F42=-1,0,IF(O$13&lt;=$M41,IF(ISERROR(MATCH(O$13,OFFSET($M41,1,0,ROW($M$164)-ROW($M41)-1),0)),ROW($M$164)-ROW($M41)-1,MATCH(O$13,OFFSET($M41,1,0,ROW($M$164)-ROW($M41)-1),0)-1),0))</f>
        <v>0</v>
      </c>
      <c r="P41" s="193">
        <f ca="1">IF($F42=-1,0,IF(P$13&lt;=$M41,IF(ISERROR(MATCH(P$13,OFFSET($M41,1,0,ROW($M$164)-ROW($M41)-1),0)),ROW($M$164)-ROW($M41)-1,MATCH(P$13,OFFSET($M41,1,0,ROW($M$164)-ROW($M41)-1),0)-1),0))</f>
        <v>0</v>
      </c>
      <c r="Q41" s="193">
        <f ca="1">IF($F42=-1,0,IF(Q$13&lt;=$M41,IF(ISERROR(MATCH(Q$13,OFFSET($M41,1,0,ROW($M$164)-ROW($M41)-1),0)),ROW($M$164)-ROW($M41)-1,MATCH(Q$13,OFFSET($M41,1,0,ROW($M$164)-ROW($M41)-1),0)-1),0))</f>
        <v>0</v>
      </c>
      <c r="R41" s="193">
        <f t="shared" ref="R41" ca="1" si="59">MIN(OFFSET(M41,0,1,,M41))</f>
        <v>2</v>
      </c>
      <c r="S41" s="194">
        <f ca="1">IF($F42=0,OFFSET(ORÇAMENTO!X$15,$F41,0),IF($F42&lt;&gt;-1,OFFSET(QCI!$O$13,$F42,0),""))</f>
        <v>0</v>
      </c>
      <c r="T41" s="195" t="s">
        <v>785</v>
      </c>
      <c r="U41" s="188" t="e" cm="1">
        <f t="array" aca="1" ref="U41" ca="1">IF(AND($R41=2,ACOMPANHAMENTO="BM"),ROUND(U42,4),U43/$S41)</f>
        <v>#DIV/0!</v>
      </c>
      <c r="V41" s="188" t="e" cm="1">
        <f t="array" aca="1" ref="V41" ca="1">IF(AND($R41=2,ACOMPANHAMENTO="BM"),ROUND(V42,4),V43/$S41)</f>
        <v>#DIV/0!</v>
      </c>
      <c r="W41" s="188" t="e" cm="1">
        <f t="array" aca="1" ref="W41" ca="1">IF(AND($R41=2,ACOMPANHAMENTO="BM"),ROUND(W42,4),W43/$S41)</f>
        <v>#DIV/0!</v>
      </c>
      <c r="X41" s="188" t="e" cm="1">
        <f t="array" aca="1" ref="X41" ca="1">IF(AND($R41=2,ACOMPANHAMENTO="BM"),ROUND(X42,4),X43/$S41)</f>
        <v>#DIV/0!</v>
      </c>
      <c r="Y41" s="188" t="e" cm="1">
        <f t="array" aca="1" ref="Y41" ca="1">IF(AND($R41=2,ACOMPANHAMENTO="BM"),ROUND(Y42,4),Y43/$S41)</f>
        <v>#DIV/0!</v>
      </c>
      <c r="Z41" s="188" t="e" cm="1">
        <f t="array" aca="1" ref="Z41" ca="1">IF(AND($R41=2,ACOMPANHAMENTO="BM"),ROUND(Z42,4),Z43/$S41)</f>
        <v>#DIV/0!</v>
      </c>
      <c r="AA41" s="188" t="e" cm="1">
        <f t="array" aca="1" ref="AA41" ca="1">IF(AND($R41=2,ACOMPANHAMENTO="BM"),ROUND(AA42,4),AA43/$S41)</f>
        <v>#DIV/0!</v>
      </c>
      <c r="AB41" s="188" t="e" cm="1">
        <f t="array" aca="1" ref="AB41" ca="1">IF(AND($R41=2,ACOMPANHAMENTO="BM"),ROUND(AB42,4),AB43/$S41)</f>
        <v>#DIV/0!</v>
      </c>
      <c r="AC41" s="188" t="e" cm="1">
        <f t="array" aca="1" ref="AC41" ca="1">IF(AND($R41=2,ACOMPANHAMENTO="BM"),ROUND(AC42,4),AC43/$S41)</f>
        <v>#DIV/0!</v>
      </c>
      <c r="AD41" s="188" t="e" cm="1">
        <f t="array" aca="1" ref="AD41" ca="1">IF(AND($R41=2,ACOMPANHAMENTO="BM"),ROUND(AD42,4),AD43/$S41)</f>
        <v>#DIV/0!</v>
      </c>
      <c r="AE41" s="188" t="e" cm="1">
        <f t="array" aca="1" ref="AE41" ca="1">IF(AND($R41=2,ACOMPANHAMENTO="BM"),ROUND(AE42,4),AE43/$S41)</f>
        <v>#DIV/0!</v>
      </c>
      <c r="AF41" s="188" t="e" cm="1">
        <f t="array" aca="1" ref="AF41" ca="1">IF(AND($R41=2,ACOMPANHAMENTO="BM"),ROUND(AF42,4),AF43/$S41)</f>
        <v>#DIV/0!</v>
      </c>
      <c r="AG41" s="534"/>
    </row>
    <row r="42" spans="1:33" ht="12.75" customHeight="1" x14ac:dyDescent="0.2">
      <c r="E42" s="587"/>
      <c r="F42" s="185">
        <f ca="1">IF(ISERROR(F41),IF(1+COUNTIF($M$13:OFFSET(M41,-1,0),1)&lt;=MAX(QCI!$D$13:$D$24),1+COUNTIF($M$13:OFFSET(M41,-1,0),1),-1),0)</f>
        <v>4</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SUMIF(CÁLCULO!$AM$15:$AW$44,CRONO!E$12,CÁLCULO!$AB$15:$AL$44)/(ORÇAMENTO!$X$15-CÁLCULO.TotalAdmLocal)*CRONO!$F43,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1$</v>
      </c>
      <c r="T43" s="205"/>
      <c r="U43" s="202" cm="1">
        <f t="array" aca="1" ref="U43" ca="1">IF($R41=2,
         IF(AND(ACOMPANHAMENTO="PLE",ISNUMBER($F41)),
                SUMIF((OFFSET(CÁLCULO!$AM$15:$AW$15,$F41,0,OFFSET(ORÇAMENTO!$D$15,CRONO!$F41,0))),CRONO!U$12,OFFSET(CÁLCULO!$AB$15:$AL$15,$F41,0,OFFSET(ORÇAMENTO!$D$15,CRONO!$F41,0)))
                +IF(AND($F43&lt;&gt;"",$F43&lt;&gt;0),
                        SUMIF(CÁLCULO!$AM$15:$AW$44,CRONO!U$12,CÁLCULO!$AB$15:$AL$44)/(ORÇAMENTO!$X$15-CÁLCULO.TotalAdmLocal)*CRONO!$F43,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SUMIF(CÁLCULO!$AM$15:$AW$44,CRONO!V$12,CÁLCULO!$AB$15:$AL$44)/(ORÇAMENTO!$X$15-CÁLCULO.TotalAdmLocal)*CRONO!$F43,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SUMIF(CÁLCULO!$AM$15:$AW$44,CRONO!W$12,CÁLCULO!$AB$15:$AL$44)/(ORÇAMENTO!$X$15-CÁLCULO.TotalAdmLocal)*CRONO!$F43,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SUMIF(CÁLCULO!$AM$15:$AW$44,CRONO!X$12,CÁLCULO!$AB$15:$AL$44)/(ORÇAMENTO!$X$15-CÁLCULO.TotalAdmLocal)*CRONO!$F43,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SUMIF(CÁLCULO!$AM$15:$AW$44,CRONO!Y$12,CÁLCULO!$AB$15:$AL$44)/(ORÇAMENTO!$X$15-CÁLCULO.TotalAdmLocal)*CRONO!$F43,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SUMIF(CÁLCULO!$AM$15:$AW$44,CRONO!Z$12,CÁLCULO!$AB$15:$AL$44)/(ORÇAMENTO!$X$15-CÁLCULO.TotalAdmLocal)*CRONO!$F43,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SUMIF(CÁLCULO!$AM$15:$AW$44,CRONO!AA$12,CÁLCULO!$AB$15:$AL$44)/(ORÇAMENTO!$X$15-CÁLCULO.TotalAdmLocal)*CRONO!$F43,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SUMIF(CÁLCULO!$AM$15:$AW$44,CRONO!AB$12,CÁLCULO!$AB$15:$AL$44)/(ORÇAMENTO!$X$15-CÁLCULO.TotalAdmLocal)*CRONO!$F43,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SUMIF(CÁLCULO!$AM$15:$AW$44,CRONO!AC$12,CÁLCULO!$AB$15:$AL$44)/(ORÇAMENTO!$X$15-CÁLCULO.TotalAdmLocal)*CRONO!$F43,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SUMIF(CÁLCULO!$AM$15:$AW$44,CRONO!AD$12,CÁLCULO!$AB$15:$AL$44)/(ORÇAMENTO!$X$15-CÁLCULO.TotalAdmLocal)*CRONO!$F43,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SUMIF(CÁLCULO!$AM$15:$AW$44,CRONO!AE$12,CÁLCULO!$AB$15:$AL$44)/(ORÇAMENTO!$X$15-CÁLCULO.TotalAdmLocal)*CRONO!$F43,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SUMIF(CÁLCULO!$AM$15:$AW$44,CRONO!AF$12,CÁLCULO!$AB$15:$AL$44)/(ORÇAMENTO!$X$15-CÁLCULO.TotalAdmLocal)*CRONO!$F43,
                        0),
                 AF42*$S41),
          SUMIF(OFFSET($S43,1,0,$R41-2),($M41+1)&amp;"$",OFFSET(AF43,1,0,$R41-2)))</f>
        <v>0</v>
      </c>
      <c r="AG43" s="534"/>
    </row>
    <row r="44" spans="1:33" x14ac:dyDescent="0.2">
      <c r="A44" s="186" t="str">
        <f t="shared" ref="A44" ca="1" si="62">IF($M44&gt;1,_xlfn.CONCAT($I44," ",$J44),"")</f>
        <v/>
      </c>
      <c r="B44" s="185">
        <f t="shared" ref="B44" ca="1" si="63">OFFSET(B44,-3,0)+1</f>
        <v>11</v>
      </c>
      <c r="C44" s="185">
        <f ca="1">IF($R44&lt;&gt;2,0,IF($S44=0,1,IF(F45&gt;0,OFFSET(QCI!$M$13,SUBSTITUTE(F45,".",""),0),OFFSET(ORÇAMENTO!$AA$15,CRONO!$F44,0))/$S44))</f>
        <v>1</v>
      </c>
      <c r="D44" s="185">
        <f ca="1">IF($R44&lt;&gt;2,0,IF($S44=0,1,IF(F45&gt;0,OFFSET(QCI!$N$13,SUBSTITUTE(F45,".",""),0),OFFSET(ORÇAMENTO!$AB$15,CRONO!$F44,0))/$S44))</f>
        <v>1</v>
      </c>
      <c r="E44" s="188" t="e" cm="1">
        <f t="array" aca="1" ref="E44" ca="1">IF(AND($R44=2,ACOMPANHAMENTO="BM"),ROUND(E45,4),E46/$S44)</f>
        <v>#DIV/0!</v>
      </c>
      <c r="F44" s="185" t="e" cm="1">
        <f t="array" aca="1" ref="F44" ca="1">IF(B44&lt;=ORÇAMENTO.MáximoListaCrono,MATCH(B44,ORÇAMENTO.ListaCrono,0),NA())</f>
        <v>#N/A</v>
      </c>
      <c r="G44" s="185" t="str">
        <f t="shared" ref="G44" ca="1" si="64">IF(AND($F45&lt;&gt;-1,$S44&gt;0),"F","")</f>
        <v/>
      </c>
      <c r="H44" s="189" t="str" cm="1">
        <f t="array" aca="1" ref="H44" ca="1">IF(OR(S44=0,S44=""),"Linha",IF(AND(OR(ACOMPANHAMENTO="PLE",$R44&lt;&gt;2),$F45=0),"Linha",ROUND(1-SUM(U44:AG44),4)))</f>
        <v>Linha</v>
      </c>
      <c r="I44" s="190">
        <f ca="1">IF($F45=0,OFFSET(ORÇAMENTO!O$15,$F44,0),IF($F45&lt;&gt;-1,OFFSET(QCI!$D$13,$F45,0),""))</f>
        <v>5</v>
      </c>
      <c r="J44" s="191" t="str">
        <f ca="1">IF($F45=0,OFFSET(ORÇAMENTO!R$15,$F44,0),IF($F45&lt;&gt;-1,OFFSET(QCI!$G$13,$F45,0),""))</f>
        <v/>
      </c>
      <c r="K44" s="191"/>
      <c r="L44" s="191"/>
      <c r="M44" s="192">
        <f ca="1">IF($F45=0,OFFSET(ORÇAMENTO!C$15,$F44,0),1)</f>
        <v>1</v>
      </c>
      <c r="N44" s="193">
        <f ca="1">IF($F45=-1,0,IF(N$13&lt;=$M44,IF(ISERROR(MATCH(N$13,OFFSET($M44,1,0,ROW($M$164)-ROW($M44)-1),0)),ROW($M$164)-ROW($M44)-1,MATCH(N$13,OFFSET($M44,1,0,ROW($M$164)-ROW($M44)-1),0)-1),0))</f>
        <v>2</v>
      </c>
      <c r="O44" s="193">
        <f ca="1">IF($F45=-1,0,IF(O$13&lt;=$M44,IF(ISERROR(MATCH(O$13,OFFSET($M44,1,0,ROW($M$164)-ROW($M44)-1),0)),ROW($M$164)-ROW($M44)-1,MATCH(O$13,OFFSET($M44,1,0,ROW($M$164)-ROW($M44)-1),0)-1),0))</f>
        <v>0</v>
      </c>
      <c r="P44" s="193">
        <f ca="1">IF($F45=-1,0,IF(P$13&lt;=$M44,IF(ISERROR(MATCH(P$13,OFFSET($M44,1,0,ROW($M$164)-ROW($M44)-1),0)),ROW($M$164)-ROW($M44)-1,MATCH(P$13,OFFSET($M44,1,0,ROW($M$164)-ROW($M44)-1),0)-1),0))</f>
        <v>0</v>
      </c>
      <c r="Q44" s="193">
        <f ca="1">IF($F45=-1,0,IF(Q$13&lt;=$M44,IF(ISERROR(MATCH(Q$13,OFFSET($M44,1,0,ROW($M$164)-ROW($M44)-1),0)),ROW($M$164)-ROW($M44)-1,MATCH(Q$13,OFFSET($M44,1,0,ROW($M$164)-ROW($M44)-1),0)-1),0))</f>
        <v>0</v>
      </c>
      <c r="R44" s="193">
        <f t="shared" ref="R44" ca="1" si="65">MIN(OFFSET(M44,0,1,,M44))</f>
        <v>2</v>
      </c>
      <c r="S44" s="194">
        <f ca="1">IF($F45=0,OFFSET(ORÇAMENTO!X$15,$F44,0),IF($F45&lt;&gt;-1,OFFSET(QCI!$O$13,$F45,0),""))</f>
        <v>0</v>
      </c>
      <c r="T44" s="195" t="s">
        <v>785</v>
      </c>
      <c r="U44" s="188" t="e" cm="1">
        <f t="array" aca="1" ref="U44" ca="1">IF(AND($R44=2,ACOMPANHAMENTO="BM"),ROUND(U45,4),U46/$S44)</f>
        <v>#DIV/0!</v>
      </c>
      <c r="V44" s="188" t="e" cm="1">
        <f t="array" aca="1" ref="V44" ca="1">IF(AND($R44=2,ACOMPANHAMENTO="BM"),ROUND(V45,4),V46/$S44)</f>
        <v>#DIV/0!</v>
      </c>
      <c r="W44" s="188" t="e" cm="1">
        <f t="array" aca="1" ref="W44" ca="1">IF(AND($R44=2,ACOMPANHAMENTO="BM"),ROUND(W45,4),W46/$S44)</f>
        <v>#DIV/0!</v>
      </c>
      <c r="X44" s="188" t="e" cm="1">
        <f t="array" aca="1" ref="X44" ca="1">IF(AND($R44=2,ACOMPANHAMENTO="BM"),ROUND(X45,4),X46/$S44)</f>
        <v>#DIV/0!</v>
      </c>
      <c r="Y44" s="188" t="e" cm="1">
        <f t="array" aca="1" ref="Y44" ca="1">IF(AND($R44=2,ACOMPANHAMENTO="BM"),ROUND(Y45,4),Y46/$S44)</f>
        <v>#DIV/0!</v>
      </c>
      <c r="Z44" s="188" t="e" cm="1">
        <f t="array" aca="1" ref="Z44" ca="1">IF(AND($R44=2,ACOMPANHAMENTO="BM"),ROUND(Z45,4),Z46/$S44)</f>
        <v>#DIV/0!</v>
      </c>
      <c r="AA44" s="188" t="e" cm="1">
        <f t="array" aca="1" ref="AA44" ca="1">IF(AND($R44=2,ACOMPANHAMENTO="BM"),ROUND(AA45,4),AA46/$S44)</f>
        <v>#DIV/0!</v>
      </c>
      <c r="AB44" s="188" t="e" cm="1">
        <f t="array" aca="1" ref="AB44" ca="1">IF(AND($R44=2,ACOMPANHAMENTO="BM"),ROUND(AB45,4),AB46/$S44)</f>
        <v>#DIV/0!</v>
      </c>
      <c r="AC44" s="188" t="e" cm="1">
        <f t="array" aca="1" ref="AC44" ca="1">IF(AND($R44=2,ACOMPANHAMENTO="BM"),ROUND(AC45,4),AC46/$S44)</f>
        <v>#DIV/0!</v>
      </c>
      <c r="AD44" s="188" t="e" cm="1">
        <f t="array" aca="1" ref="AD44" ca="1">IF(AND($R44=2,ACOMPANHAMENTO="BM"),ROUND(AD45,4),AD46/$S44)</f>
        <v>#DIV/0!</v>
      </c>
      <c r="AE44" s="188" t="e" cm="1">
        <f t="array" aca="1" ref="AE44" ca="1">IF(AND($R44=2,ACOMPANHAMENTO="BM"),ROUND(AE45,4),AE46/$S44)</f>
        <v>#DIV/0!</v>
      </c>
      <c r="AF44" s="188" t="e" cm="1">
        <f t="array" aca="1" ref="AF44" ca="1">IF(AND($R44=2,ACOMPANHAMENTO="BM"),ROUND(AF45,4),AF46/$S44)</f>
        <v>#DIV/0!</v>
      </c>
      <c r="AG44" s="534"/>
    </row>
    <row r="45" spans="1:33" ht="12.75" customHeight="1" x14ac:dyDescent="0.2">
      <c r="E45" s="587"/>
      <c r="F45" s="185">
        <f ca="1">IF(ISERROR(F44),IF(1+COUNTIF($M$13:OFFSET(M44,-1,0),1)&lt;=MAX(QCI!$D$13:$D$24),1+COUNTIF($M$13:OFFSET(M44,-1,0),1),-1),0)</f>
        <v>5</v>
      </c>
      <c r="G45" s="185" t="str" cm="1">
        <f t="array" aca="1" ref="G45" ca="1">IF(ACOMPANHAMENTO="BM",OFFSET(G45,-1,0),"")</f>
        <v/>
      </c>
      <c r="H45" s="196" t="str" cm="1">
        <f t="array" aca="1" ref="H45" ca="1">IF(OR(S44=0,S44=""),"vazia",IF(AND(OR(ACOMPANHAMENTO="PLE",$R44&lt;&gt;2),$F45=0),"calculada","--&gt;"))</f>
        <v>vazia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SUMIF(CÁLCULO!$AM$15:$AW$44,CRONO!E$12,CÁLCULO!$AB$15:$AL$44)/(ORÇAMENTO!$X$15-CÁLCULO.TotalAdmLocal)*CRONO!$F46,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1$</v>
      </c>
      <c r="T46" s="205"/>
      <c r="U46" s="202" cm="1">
        <f t="array" aca="1" ref="U46" ca="1">IF($R44=2,
         IF(AND(ACOMPANHAMENTO="PLE",ISNUMBER($F44)),
                SUMIF((OFFSET(CÁLCULO!$AM$15:$AW$15,$F44,0,OFFSET(ORÇAMENTO!$D$15,CRONO!$F44,0))),CRONO!U$12,OFFSET(CÁLCULO!$AB$15:$AL$15,$F44,0,OFFSET(ORÇAMENTO!$D$15,CRONO!$F44,0)))
                +IF(AND($F46&lt;&gt;"",$F46&lt;&gt;0),
                        SUMIF(CÁLCULO!$AM$15:$AW$44,CRONO!U$12,CÁLCULO!$AB$15:$AL$44)/(ORÇAMENTO!$X$15-CÁLCULO.TotalAdmLocal)*CRONO!$F46,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SUMIF(CÁLCULO!$AM$15:$AW$44,CRONO!V$12,CÁLCULO!$AB$15:$AL$44)/(ORÇAMENTO!$X$15-CÁLCULO.TotalAdmLocal)*CRONO!$F46,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SUMIF(CÁLCULO!$AM$15:$AW$44,CRONO!W$12,CÁLCULO!$AB$15:$AL$44)/(ORÇAMENTO!$X$15-CÁLCULO.TotalAdmLocal)*CRONO!$F46,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SUMIF(CÁLCULO!$AM$15:$AW$44,CRONO!X$12,CÁLCULO!$AB$15:$AL$44)/(ORÇAMENTO!$X$15-CÁLCULO.TotalAdmLocal)*CRONO!$F46,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SUMIF(CÁLCULO!$AM$15:$AW$44,CRONO!Y$12,CÁLCULO!$AB$15:$AL$44)/(ORÇAMENTO!$X$15-CÁLCULO.TotalAdmLocal)*CRONO!$F46,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SUMIF(CÁLCULO!$AM$15:$AW$44,CRONO!Z$12,CÁLCULO!$AB$15:$AL$44)/(ORÇAMENTO!$X$15-CÁLCULO.TotalAdmLocal)*CRONO!$F46,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SUMIF(CÁLCULO!$AM$15:$AW$44,CRONO!AA$12,CÁLCULO!$AB$15:$AL$44)/(ORÇAMENTO!$X$15-CÁLCULO.TotalAdmLocal)*CRONO!$F46,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SUMIF(CÁLCULO!$AM$15:$AW$44,CRONO!AB$12,CÁLCULO!$AB$15:$AL$44)/(ORÇAMENTO!$X$15-CÁLCULO.TotalAdmLocal)*CRONO!$F46,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SUMIF(CÁLCULO!$AM$15:$AW$44,CRONO!AC$12,CÁLCULO!$AB$15:$AL$44)/(ORÇAMENTO!$X$15-CÁLCULO.TotalAdmLocal)*CRONO!$F46,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SUMIF(CÁLCULO!$AM$15:$AW$44,CRONO!AD$12,CÁLCULO!$AB$15:$AL$44)/(ORÇAMENTO!$X$15-CÁLCULO.TotalAdmLocal)*CRONO!$F46,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SUMIF(CÁLCULO!$AM$15:$AW$44,CRONO!AE$12,CÁLCULO!$AB$15:$AL$44)/(ORÇAMENTO!$X$15-CÁLCULO.TotalAdmLocal)*CRONO!$F46,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SUMIF(CÁLCULO!$AM$15:$AW$44,CRONO!AF$12,CÁLCULO!$AB$15:$AL$44)/(ORÇAMENTO!$X$15-CÁLCULO.TotalAdmLocal)*CRONO!$F46,
                        0),
                 AF45*$S44),
          SUMIF(OFFSET($S46,1,0,$R44-2),($M44+1)&amp;"$",OFFSET(AF46,1,0,$R44-2)))</f>
        <v>0</v>
      </c>
      <c r="AG46" s="534"/>
    </row>
    <row r="47" spans="1:33" x14ac:dyDescent="0.2">
      <c r="A47" s="186" t="str">
        <f t="shared" ref="A47" ca="1" si="68">IF($M47&gt;1,_xlfn.CONCAT($I47," ",$J47),"")</f>
        <v/>
      </c>
      <c r="B47" s="185">
        <f t="shared" ref="B47" ca="1" si="69">OFFSET(B47,-3,0)+1</f>
        <v>12</v>
      </c>
      <c r="C47" s="185">
        <f ca="1">IF($R47&lt;&gt;2,0,IF($S47=0,1,IF(F48&gt;0,OFFSET(QCI!$M$13,SUBSTITUTE(F48,".",""),0),OFFSET(ORÇAMENTO!$AA$15,CRONO!$F47,0))/$S47))</f>
        <v>1</v>
      </c>
      <c r="D47" s="185">
        <f ca="1">IF($R47&lt;&gt;2,0,IF($S47=0,1,IF(F48&gt;0,OFFSET(QCI!$N$13,SUBSTITUTE(F48,".",""),0),OFFSET(ORÇAMENTO!$AB$15,CRONO!$F47,0))/$S47))</f>
        <v>1</v>
      </c>
      <c r="E47" s="188" t="e" cm="1">
        <f t="array" aca="1" ref="E47" ca="1">IF(AND($R47=2,ACOMPANHAMENTO="BM"),ROUND(E48,4),E49/$S47)</f>
        <v>#DIV/0!</v>
      </c>
      <c r="F47" s="185" t="e" cm="1">
        <f t="array" aca="1" ref="F47" ca="1">IF(B47&lt;=ORÇAMENTO.MáximoListaCrono,MATCH(B47,ORÇAMENTO.ListaCrono,0),NA())</f>
        <v>#N/A</v>
      </c>
      <c r="G47" s="185" t="str">
        <f t="shared" ref="G47" ca="1" si="70">IF(AND($F48&lt;&gt;-1,$S47&gt;0),"F","")</f>
        <v/>
      </c>
      <c r="H47" s="189" t="str" cm="1">
        <f t="array" aca="1" ref="H47" ca="1">IF(OR(S47=0,S47=""),"Linha",IF(AND(OR(ACOMPANHAMENTO="PLE",$R47&lt;&gt;2),$F48=0),"Linha",ROUND(1-SUM(U47:AG47),4)))</f>
        <v>Linha</v>
      </c>
      <c r="I47" s="190">
        <f ca="1">IF($F48=0,OFFSET(ORÇAMENTO!O$15,$F47,0),IF($F48&lt;&gt;-1,OFFSET(QCI!$D$13,$F48,0),""))</f>
        <v>6</v>
      </c>
      <c r="J47" s="191" t="str">
        <f ca="1">IF($F48=0,OFFSET(ORÇAMENTO!R$15,$F47,0),IF($F48&lt;&gt;-1,OFFSET(QCI!$G$13,$F48,0),""))</f>
        <v/>
      </c>
      <c r="K47" s="191"/>
      <c r="L47" s="191"/>
      <c r="M47" s="192">
        <f ca="1">IF($F48=0,OFFSET(ORÇAMENTO!C$15,$F47,0),1)</f>
        <v>1</v>
      </c>
      <c r="N47" s="193">
        <f ca="1">IF($F48=-1,0,IF(N$13&lt;=$M47,IF(ISERROR(MATCH(N$13,OFFSET($M47,1,0,ROW($M$164)-ROW($M47)-1),0)),ROW($M$164)-ROW($M47)-1,MATCH(N$13,OFFSET($M47,1,0,ROW($M$164)-ROW($M47)-1),0)-1),0))</f>
        <v>2</v>
      </c>
      <c r="O47" s="193">
        <f ca="1">IF($F48=-1,0,IF(O$13&lt;=$M47,IF(ISERROR(MATCH(O$13,OFFSET($M47,1,0,ROW($M$164)-ROW($M47)-1),0)),ROW($M$164)-ROW($M47)-1,MATCH(O$13,OFFSET($M47,1,0,ROW($M$164)-ROW($M47)-1),0)-1),0))</f>
        <v>0</v>
      </c>
      <c r="P47" s="193">
        <f ca="1">IF($F48=-1,0,IF(P$13&lt;=$M47,IF(ISERROR(MATCH(P$13,OFFSET($M47,1,0,ROW($M$164)-ROW($M47)-1),0)),ROW($M$164)-ROW($M47)-1,MATCH(P$13,OFFSET($M47,1,0,ROW($M$164)-ROW($M47)-1),0)-1),0))</f>
        <v>0</v>
      </c>
      <c r="Q47" s="193">
        <f ca="1">IF($F48=-1,0,IF(Q$13&lt;=$M47,IF(ISERROR(MATCH(Q$13,OFFSET($M47,1,0,ROW($M$164)-ROW($M47)-1),0)),ROW($M$164)-ROW($M47)-1,MATCH(Q$13,OFFSET($M47,1,0,ROW($M$164)-ROW($M47)-1),0)-1),0))</f>
        <v>0</v>
      </c>
      <c r="R47" s="193">
        <f t="shared" ref="R47" ca="1" si="71">MIN(OFFSET(M47,0,1,,M47))</f>
        <v>2</v>
      </c>
      <c r="S47" s="194">
        <f ca="1">IF($F48=0,OFFSET(ORÇAMENTO!X$15,$F47,0),IF($F48&lt;&gt;-1,OFFSET(QCI!$O$13,$F48,0),""))</f>
        <v>0</v>
      </c>
      <c r="T47" s="195" t="s">
        <v>785</v>
      </c>
      <c r="U47" s="188" t="e" cm="1">
        <f t="array" aca="1" ref="U47" ca="1">IF(AND($R47=2,ACOMPANHAMENTO="BM"),ROUND(U48,4),U49/$S47)</f>
        <v>#DIV/0!</v>
      </c>
      <c r="V47" s="188" t="e" cm="1">
        <f t="array" aca="1" ref="V47" ca="1">IF(AND($R47=2,ACOMPANHAMENTO="BM"),ROUND(V48,4),V49/$S47)</f>
        <v>#DIV/0!</v>
      </c>
      <c r="W47" s="188" t="e" cm="1">
        <f t="array" aca="1" ref="W47" ca="1">IF(AND($R47=2,ACOMPANHAMENTO="BM"),ROUND(W48,4),W49/$S47)</f>
        <v>#DIV/0!</v>
      </c>
      <c r="X47" s="188" t="e" cm="1">
        <f t="array" aca="1" ref="X47" ca="1">IF(AND($R47=2,ACOMPANHAMENTO="BM"),ROUND(X48,4),X49/$S47)</f>
        <v>#DIV/0!</v>
      </c>
      <c r="Y47" s="188" t="e" cm="1">
        <f t="array" aca="1" ref="Y47" ca="1">IF(AND($R47=2,ACOMPANHAMENTO="BM"),ROUND(Y48,4),Y49/$S47)</f>
        <v>#DIV/0!</v>
      </c>
      <c r="Z47" s="188" t="e" cm="1">
        <f t="array" aca="1" ref="Z47" ca="1">IF(AND($R47=2,ACOMPANHAMENTO="BM"),ROUND(Z48,4),Z49/$S47)</f>
        <v>#DIV/0!</v>
      </c>
      <c r="AA47" s="188" t="e" cm="1">
        <f t="array" aca="1" ref="AA47" ca="1">IF(AND($R47=2,ACOMPANHAMENTO="BM"),ROUND(AA48,4),AA49/$S47)</f>
        <v>#DIV/0!</v>
      </c>
      <c r="AB47" s="188" t="e" cm="1">
        <f t="array" aca="1" ref="AB47" ca="1">IF(AND($R47=2,ACOMPANHAMENTO="BM"),ROUND(AB48,4),AB49/$S47)</f>
        <v>#DIV/0!</v>
      </c>
      <c r="AC47" s="188" t="e" cm="1">
        <f t="array" aca="1" ref="AC47" ca="1">IF(AND($R47=2,ACOMPANHAMENTO="BM"),ROUND(AC48,4),AC49/$S47)</f>
        <v>#DIV/0!</v>
      </c>
      <c r="AD47" s="188" t="e" cm="1">
        <f t="array" aca="1" ref="AD47" ca="1">IF(AND($R47=2,ACOMPANHAMENTO="BM"),ROUND(AD48,4),AD49/$S47)</f>
        <v>#DIV/0!</v>
      </c>
      <c r="AE47" s="188" t="e" cm="1">
        <f t="array" aca="1" ref="AE47" ca="1">IF(AND($R47=2,ACOMPANHAMENTO="BM"),ROUND(AE48,4),AE49/$S47)</f>
        <v>#DIV/0!</v>
      </c>
      <c r="AF47" s="188" t="e" cm="1">
        <f t="array" aca="1" ref="AF47" ca="1">IF(AND($R47=2,ACOMPANHAMENTO="BM"),ROUND(AF48,4),AF49/$S47)</f>
        <v>#DIV/0!</v>
      </c>
      <c r="AG47" s="534"/>
    </row>
    <row r="48" spans="1:33" ht="12.75" customHeight="1" x14ac:dyDescent="0.2">
      <c r="E48" s="587"/>
      <c r="F48" s="185">
        <f ca="1">IF(ISERROR(F47),IF(1+COUNTIF($M$13:OFFSET(M47,-1,0),1)&lt;=MAX(QCI!$D$13:$D$24),1+COUNTIF($M$13:OFFSET(M47,-1,0),1),-1),0)</f>
        <v>6</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SUMIF(CÁLCULO!$AM$15:$AW$44,CRONO!E$12,CÁLCULO!$AB$15:$AL$44)/(ORÇAMENTO!$X$15-CÁLCULO.TotalAdmLocal)*CRONO!$F49,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1$</v>
      </c>
      <c r="T49" s="205"/>
      <c r="U49" s="202" cm="1">
        <f t="array" aca="1" ref="U49" ca="1">IF($R47=2,
         IF(AND(ACOMPANHAMENTO="PLE",ISNUMBER($F47)),
                SUMIF((OFFSET(CÁLCULO!$AM$15:$AW$15,$F47,0,OFFSET(ORÇAMENTO!$D$15,CRONO!$F47,0))),CRONO!U$12,OFFSET(CÁLCULO!$AB$15:$AL$15,$F47,0,OFFSET(ORÇAMENTO!$D$15,CRONO!$F47,0)))
                +IF(AND($F49&lt;&gt;"",$F49&lt;&gt;0),
                        SUMIF(CÁLCULO!$AM$15:$AW$44,CRONO!U$12,CÁLCULO!$AB$15:$AL$44)/(ORÇAMENTO!$X$15-CÁLCULO.TotalAdmLocal)*CRONO!$F49,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SUMIF(CÁLCULO!$AM$15:$AW$44,CRONO!V$12,CÁLCULO!$AB$15:$AL$44)/(ORÇAMENTO!$X$15-CÁLCULO.TotalAdmLocal)*CRONO!$F49,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SUMIF(CÁLCULO!$AM$15:$AW$44,CRONO!W$12,CÁLCULO!$AB$15:$AL$44)/(ORÇAMENTO!$X$15-CÁLCULO.TotalAdmLocal)*CRONO!$F49,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SUMIF(CÁLCULO!$AM$15:$AW$44,CRONO!X$12,CÁLCULO!$AB$15:$AL$44)/(ORÇAMENTO!$X$15-CÁLCULO.TotalAdmLocal)*CRONO!$F49,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SUMIF(CÁLCULO!$AM$15:$AW$44,CRONO!Y$12,CÁLCULO!$AB$15:$AL$44)/(ORÇAMENTO!$X$15-CÁLCULO.TotalAdmLocal)*CRONO!$F49,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SUMIF(CÁLCULO!$AM$15:$AW$44,CRONO!Z$12,CÁLCULO!$AB$15:$AL$44)/(ORÇAMENTO!$X$15-CÁLCULO.TotalAdmLocal)*CRONO!$F49,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SUMIF(CÁLCULO!$AM$15:$AW$44,CRONO!AA$12,CÁLCULO!$AB$15:$AL$44)/(ORÇAMENTO!$X$15-CÁLCULO.TotalAdmLocal)*CRONO!$F49,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SUMIF(CÁLCULO!$AM$15:$AW$44,CRONO!AB$12,CÁLCULO!$AB$15:$AL$44)/(ORÇAMENTO!$X$15-CÁLCULO.TotalAdmLocal)*CRONO!$F49,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SUMIF(CÁLCULO!$AM$15:$AW$44,CRONO!AC$12,CÁLCULO!$AB$15:$AL$44)/(ORÇAMENTO!$X$15-CÁLCULO.TotalAdmLocal)*CRONO!$F49,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SUMIF(CÁLCULO!$AM$15:$AW$44,CRONO!AD$12,CÁLCULO!$AB$15:$AL$44)/(ORÇAMENTO!$X$15-CÁLCULO.TotalAdmLocal)*CRONO!$F49,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SUMIF(CÁLCULO!$AM$15:$AW$44,CRONO!AE$12,CÁLCULO!$AB$15:$AL$44)/(ORÇAMENTO!$X$15-CÁLCULO.TotalAdmLocal)*CRONO!$F49,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SUMIF(CÁLCULO!$AM$15:$AW$44,CRONO!AF$12,CÁLCULO!$AB$15:$AL$44)/(ORÇAMENTO!$X$15-CÁLCULO.TotalAdmLocal)*CRONO!$F49,
                        0),
                 AF48*$S47),
          SUMIF(OFFSET($S49,1,0,$R47-2),($M47+1)&amp;"$",OFFSET(AF49,1,0,$R47-2)))</f>
        <v>0</v>
      </c>
      <c r="AG49" s="534"/>
    </row>
    <row r="50" spans="1:33" x14ac:dyDescent="0.2">
      <c r="A50" s="186" t="str">
        <f t="shared" ref="A50" ca="1" si="74">IF($M50&gt;1,_xlfn.CONCAT($I50," ",$J50),"")</f>
        <v/>
      </c>
      <c r="B50" s="185">
        <f t="shared" ref="B50" ca="1" si="75">OFFSET(B50,-3,0)+1</f>
        <v>13</v>
      </c>
      <c r="C50" s="185">
        <f ca="1">IF($R50&lt;&gt;2,0,IF($S50=0,1,IF(F51&gt;0,OFFSET(QCI!$M$13,SUBSTITUTE(F51,".",""),0),OFFSET(ORÇAMENTO!$AA$15,CRONO!$F50,0))/$S50))</f>
        <v>1</v>
      </c>
      <c r="D50" s="185">
        <f ca="1">IF($R50&lt;&gt;2,0,IF($S50=0,1,IF(F51&gt;0,OFFSET(QCI!$N$13,SUBSTITUTE(F51,".",""),0),OFFSET(ORÇAMENTO!$AB$15,CRONO!$F50,0))/$S50))</f>
        <v>1</v>
      </c>
      <c r="E50" s="188" t="e" cm="1">
        <f t="array" aca="1" ref="E50" ca="1">IF(AND($R50=2,ACOMPANHAMENTO="BM"),ROUND(E51,4),E52/$S50)</f>
        <v>#DIV/0!</v>
      </c>
      <c r="F50" s="185" t="e" cm="1">
        <f t="array" aca="1" ref="F50" ca="1">IF(B50&lt;=ORÇAMENTO.MáximoListaCrono,MATCH(B50,ORÇAMENTO.ListaCrono,0),NA())</f>
        <v>#N/A</v>
      </c>
      <c r="G50" s="185" t="str">
        <f t="shared" ref="G50" ca="1" si="76">IF(AND($F51&lt;&gt;-1,$S50&gt;0),"F","")</f>
        <v/>
      </c>
      <c r="H50" s="189" t="str" cm="1">
        <f t="array" aca="1" ref="H50" ca="1">IF(OR(S50=0,S50=""),"Linha",IF(AND(OR(ACOMPANHAMENTO="PLE",$R50&lt;&gt;2),$F51=0),"Linha",ROUND(1-SUM(U50:AG50),4)))</f>
        <v>Linha</v>
      </c>
      <c r="I50" s="190">
        <f ca="1">IF($F51=0,OFFSET(ORÇAMENTO!O$15,$F50,0),IF($F51&lt;&gt;-1,OFFSET(QCI!$D$13,$F51,0),""))</f>
        <v>7</v>
      </c>
      <c r="J50" s="191" t="str">
        <f ca="1">IF($F51=0,OFFSET(ORÇAMENTO!R$15,$F50,0),IF($F51&lt;&gt;-1,OFFSET(QCI!$G$13,$F51,0),""))</f>
        <v/>
      </c>
      <c r="K50" s="191"/>
      <c r="L50" s="191"/>
      <c r="M50" s="192">
        <f ca="1">IF($F51=0,OFFSET(ORÇAMENTO!C$15,$F50,0),1)</f>
        <v>1</v>
      </c>
      <c r="N50" s="193">
        <f ca="1">IF($F51=-1,0,IF(N$13&lt;=$M50,IF(ISERROR(MATCH(N$13,OFFSET($M50,1,0,ROW($M$164)-ROW($M50)-1),0)),ROW($M$164)-ROW($M50)-1,MATCH(N$13,OFFSET($M50,1,0,ROW($M$164)-ROW($M50)-1),0)-1),0))</f>
        <v>2</v>
      </c>
      <c r="O50" s="193">
        <f ca="1">IF($F51=-1,0,IF(O$13&lt;=$M50,IF(ISERROR(MATCH(O$13,OFFSET($M50,1,0,ROW($M$164)-ROW($M50)-1),0)),ROW($M$164)-ROW($M50)-1,MATCH(O$13,OFFSET($M50,1,0,ROW($M$164)-ROW($M50)-1),0)-1),0))</f>
        <v>0</v>
      </c>
      <c r="P50" s="193">
        <f ca="1">IF($F51=-1,0,IF(P$13&lt;=$M50,IF(ISERROR(MATCH(P$13,OFFSET($M50,1,0,ROW($M$164)-ROW($M50)-1),0)),ROW($M$164)-ROW($M50)-1,MATCH(P$13,OFFSET($M50,1,0,ROW($M$164)-ROW($M50)-1),0)-1),0))</f>
        <v>0</v>
      </c>
      <c r="Q50" s="193">
        <f ca="1">IF($F51=-1,0,IF(Q$13&lt;=$M50,IF(ISERROR(MATCH(Q$13,OFFSET($M50,1,0,ROW($M$164)-ROW($M50)-1),0)),ROW($M$164)-ROW($M50)-1,MATCH(Q$13,OFFSET($M50,1,0,ROW($M$164)-ROW($M50)-1),0)-1),0))</f>
        <v>0</v>
      </c>
      <c r="R50" s="193">
        <f t="shared" ref="R50" ca="1" si="77">MIN(OFFSET(M50,0,1,,M50))</f>
        <v>2</v>
      </c>
      <c r="S50" s="194">
        <f ca="1">IF($F51=0,OFFSET(ORÇAMENTO!X$15,$F50,0),IF($F51&lt;&gt;-1,OFFSET(QCI!$O$13,$F51,0),""))</f>
        <v>0</v>
      </c>
      <c r="T50" s="195" t="s">
        <v>785</v>
      </c>
      <c r="U50" s="188" t="e" cm="1">
        <f t="array" aca="1" ref="U50" ca="1">IF(AND($R50=2,ACOMPANHAMENTO="BM"),ROUND(U51,4),U52/$S50)</f>
        <v>#DIV/0!</v>
      </c>
      <c r="V50" s="188" t="e" cm="1">
        <f t="array" aca="1" ref="V50" ca="1">IF(AND($R50=2,ACOMPANHAMENTO="BM"),ROUND(V51,4),V52/$S50)</f>
        <v>#DIV/0!</v>
      </c>
      <c r="W50" s="188" t="e" cm="1">
        <f t="array" aca="1" ref="W50" ca="1">IF(AND($R50=2,ACOMPANHAMENTO="BM"),ROUND(W51,4),W52/$S50)</f>
        <v>#DIV/0!</v>
      </c>
      <c r="X50" s="188" t="e" cm="1">
        <f t="array" aca="1" ref="X50" ca="1">IF(AND($R50=2,ACOMPANHAMENTO="BM"),ROUND(X51,4),X52/$S50)</f>
        <v>#DIV/0!</v>
      </c>
      <c r="Y50" s="188" t="e" cm="1">
        <f t="array" aca="1" ref="Y50" ca="1">IF(AND($R50=2,ACOMPANHAMENTO="BM"),ROUND(Y51,4),Y52/$S50)</f>
        <v>#DIV/0!</v>
      </c>
      <c r="Z50" s="188" t="e" cm="1">
        <f t="array" aca="1" ref="Z50" ca="1">IF(AND($R50=2,ACOMPANHAMENTO="BM"),ROUND(Z51,4),Z52/$S50)</f>
        <v>#DIV/0!</v>
      </c>
      <c r="AA50" s="188" t="e" cm="1">
        <f t="array" aca="1" ref="AA50" ca="1">IF(AND($R50=2,ACOMPANHAMENTO="BM"),ROUND(AA51,4),AA52/$S50)</f>
        <v>#DIV/0!</v>
      </c>
      <c r="AB50" s="188" t="e" cm="1">
        <f t="array" aca="1" ref="AB50" ca="1">IF(AND($R50=2,ACOMPANHAMENTO="BM"),ROUND(AB51,4),AB52/$S50)</f>
        <v>#DIV/0!</v>
      </c>
      <c r="AC50" s="188" t="e" cm="1">
        <f t="array" aca="1" ref="AC50" ca="1">IF(AND($R50=2,ACOMPANHAMENTO="BM"),ROUND(AC51,4),AC52/$S50)</f>
        <v>#DIV/0!</v>
      </c>
      <c r="AD50" s="188" t="e" cm="1">
        <f t="array" aca="1" ref="AD50" ca="1">IF(AND($R50=2,ACOMPANHAMENTO="BM"),ROUND(AD51,4),AD52/$S50)</f>
        <v>#DIV/0!</v>
      </c>
      <c r="AE50" s="188" t="e" cm="1">
        <f t="array" aca="1" ref="AE50" ca="1">IF(AND($R50=2,ACOMPANHAMENTO="BM"),ROUND(AE51,4),AE52/$S50)</f>
        <v>#DIV/0!</v>
      </c>
      <c r="AF50" s="188" t="e" cm="1">
        <f t="array" aca="1" ref="AF50" ca="1">IF(AND($R50=2,ACOMPANHAMENTO="BM"),ROUND(AF51,4),AF52/$S50)</f>
        <v>#DIV/0!</v>
      </c>
      <c r="AG50" s="534"/>
    </row>
    <row r="51" spans="1:33" ht="12.75" customHeight="1" x14ac:dyDescent="0.2">
      <c r="E51" s="587"/>
      <c r="F51" s="185">
        <f ca="1">IF(ISERROR(F50),IF(1+COUNTIF($M$13:OFFSET(M50,-1,0),1)&lt;=MAX(QCI!$D$13:$D$24),1+COUNTIF($M$13:OFFSET(M50,-1,0),1),-1),0)</f>
        <v>7</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SUMIF(CÁLCULO!$AM$15:$AW$44,CRONO!E$12,CÁLCULO!$AB$15:$AL$44)/(ORÇAMENTO!$X$15-CÁLCULO.TotalAdmLocal)*CRONO!$F52,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1$</v>
      </c>
      <c r="T52" s="205"/>
      <c r="U52" s="202" cm="1">
        <f t="array" aca="1" ref="U52" ca="1">IF($R50=2,
         IF(AND(ACOMPANHAMENTO="PLE",ISNUMBER($F50)),
                SUMIF((OFFSET(CÁLCULO!$AM$15:$AW$15,$F50,0,OFFSET(ORÇAMENTO!$D$15,CRONO!$F50,0))),CRONO!U$12,OFFSET(CÁLCULO!$AB$15:$AL$15,$F50,0,OFFSET(ORÇAMENTO!$D$15,CRONO!$F50,0)))
                +IF(AND($F52&lt;&gt;"",$F52&lt;&gt;0),
                        SUMIF(CÁLCULO!$AM$15:$AW$44,CRONO!U$12,CÁLCULO!$AB$15:$AL$44)/(ORÇAMENTO!$X$15-CÁLCULO.TotalAdmLocal)*CRONO!$F52,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SUMIF(CÁLCULO!$AM$15:$AW$44,CRONO!V$12,CÁLCULO!$AB$15:$AL$44)/(ORÇAMENTO!$X$15-CÁLCULO.TotalAdmLocal)*CRONO!$F52,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SUMIF(CÁLCULO!$AM$15:$AW$44,CRONO!W$12,CÁLCULO!$AB$15:$AL$44)/(ORÇAMENTO!$X$15-CÁLCULO.TotalAdmLocal)*CRONO!$F52,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SUMIF(CÁLCULO!$AM$15:$AW$44,CRONO!X$12,CÁLCULO!$AB$15:$AL$44)/(ORÇAMENTO!$X$15-CÁLCULO.TotalAdmLocal)*CRONO!$F52,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SUMIF(CÁLCULO!$AM$15:$AW$44,CRONO!Y$12,CÁLCULO!$AB$15:$AL$44)/(ORÇAMENTO!$X$15-CÁLCULO.TotalAdmLocal)*CRONO!$F52,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SUMIF(CÁLCULO!$AM$15:$AW$44,CRONO!Z$12,CÁLCULO!$AB$15:$AL$44)/(ORÇAMENTO!$X$15-CÁLCULO.TotalAdmLocal)*CRONO!$F52,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SUMIF(CÁLCULO!$AM$15:$AW$44,CRONO!AA$12,CÁLCULO!$AB$15:$AL$44)/(ORÇAMENTO!$X$15-CÁLCULO.TotalAdmLocal)*CRONO!$F52,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SUMIF(CÁLCULO!$AM$15:$AW$44,CRONO!AB$12,CÁLCULO!$AB$15:$AL$44)/(ORÇAMENTO!$X$15-CÁLCULO.TotalAdmLocal)*CRONO!$F52,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SUMIF(CÁLCULO!$AM$15:$AW$44,CRONO!AC$12,CÁLCULO!$AB$15:$AL$44)/(ORÇAMENTO!$X$15-CÁLCULO.TotalAdmLocal)*CRONO!$F52,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SUMIF(CÁLCULO!$AM$15:$AW$44,CRONO!AD$12,CÁLCULO!$AB$15:$AL$44)/(ORÇAMENTO!$X$15-CÁLCULO.TotalAdmLocal)*CRONO!$F52,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SUMIF(CÁLCULO!$AM$15:$AW$44,CRONO!AE$12,CÁLCULO!$AB$15:$AL$44)/(ORÇAMENTO!$X$15-CÁLCULO.TotalAdmLocal)*CRONO!$F52,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SUMIF(CÁLCULO!$AM$15:$AW$44,CRONO!AF$12,CÁLCULO!$AB$15:$AL$44)/(ORÇAMENTO!$X$15-CÁLCULO.TotalAdmLocal)*CRONO!$F52,
                        0),
                 AF51*$S50),
          SUMIF(OFFSET($S52,1,0,$R50-2),($M50+1)&amp;"$",OFFSET(AF52,1,0,$R50-2)))</f>
        <v>0</v>
      </c>
      <c r="AG52" s="534"/>
    </row>
    <row r="53" spans="1:33" x14ac:dyDescent="0.2">
      <c r="A53" s="186" t="str">
        <f t="shared" ref="A53" ca="1" si="80">IF($M53&gt;1,_xlfn.CONCAT($I53," ",$J53),"")</f>
        <v/>
      </c>
      <c r="B53" s="185">
        <f t="shared" ref="B53" ca="1" si="81">OFFSET(B53,-3,0)+1</f>
        <v>14</v>
      </c>
      <c r="C53" s="185">
        <f ca="1">IF($R53&lt;&gt;2,0,IF($S53=0,1,IF(F54&gt;0,OFFSET(QCI!$M$13,SUBSTITUTE(F54,".",""),0),OFFSET(ORÇAMENTO!$AA$15,CRONO!$F53,0))/$S53))</f>
        <v>1</v>
      </c>
      <c r="D53" s="185">
        <f ca="1">IF($R53&lt;&gt;2,0,IF($S53=0,1,IF(F54&gt;0,OFFSET(QCI!$N$13,SUBSTITUTE(F54,".",""),0),OFFSET(ORÇAMENTO!$AB$15,CRONO!$F53,0))/$S53))</f>
        <v>1</v>
      </c>
      <c r="E53" s="188" t="e" cm="1">
        <f t="array" aca="1" ref="E53" ca="1">IF(AND($R53=2,ACOMPANHAMENTO="BM"),ROUND(E54,4),E55/$S53)</f>
        <v>#DIV/0!</v>
      </c>
      <c r="F53" s="185" t="e" cm="1">
        <f t="array" aca="1" ref="F53" ca="1">IF(B53&lt;=ORÇAMENTO.MáximoListaCrono,MATCH(B53,ORÇAMENTO.ListaCrono,0),NA())</f>
        <v>#N/A</v>
      </c>
      <c r="G53" s="185" t="str">
        <f t="shared" ref="G53" ca="1" si="82">IF(AND($F54&lt;&gt;-1,$S53&gt;0),"F","")</f>
        <v/>
      </c>
      <c r="H53" s="189" t="str" cm="1">
        <f t="array" aca="1" ref="H53" ca="1">IF(OR(S53=0,S53=""),"Linha",IF(AND(OR(ACOMPANHAMENTO="PLE",$R53&lt;&gt;2),$F54=0),"Linha",ROUND(1-SUM(U53:AG53),4)))</f>
        <v>Linha</v>
      </c>
      <c r="I53" s="190">
        <f ca="1">IF($F54=0,OFFSET(ORÇAMENTO!O$15,$F53,0),IF($F54&lt;&gt;-1,OFFSET(QCI!$D$13,$F54,0),""))</f>
        <v>8</v>
      </c>
      <c r="J53" s="191" t="str">
        <f ca="1">IF($F54=0,OFFSET(ORÇAMENTO!R$15,$F53,0),IF($F54&lt;&gt;-1,OFFSET(QCI!$G$13,$F54,0),""))</f>
        <v/>
      </c>
      <c r="K53" s="191"/>
      <c r="L53" s="191"/>
      <c r="M53" s="192">
        <f ca="1">IF($F54=0,OFFSET(ORÇAMENTO!C$15,$F53,0),1)</f>
        <v>1</v>
      </c>
      <c r="N53" s="193">
        <f ca="1">IF($F54=-1,0,IF(N$13&lt;=$M53,IF(ISERROR(MATCH(N$13,OFFSET($M53,1,0,ROW($M$164)-ROW($M53)-1),0)),ROW($M$164)-ROW($M53)-1,MATCH(N$13,OFFSET($M53,1,0,ROW($M$164)-ROW($M53)-1),0)-1),0))</f>
        <v>2</v>
      </c>
      <c r="O53" s="193">
        <f ca="1">IF($F54=-1,0,IF(O$13&lt;=$M53,IF(ISERROR(MATCH(O$13,OFFSET($M53,1,0,ROW($M$164)-ROW($M53)-1),0)),ROW($M$164)-ROW($M53)-1,MATCH(O$13,OFFSET($M53,1,0,ROW($M$164)-ROW($M53)-1),0)-1),0))</f>
        <v>0</v>
      </c>
      <c r="P53" s="193">
        <f ca="1">IF($F54=-1,0,IF(P$13&lt;=$M53,IF(ISERROR(MATCH(P$13,OFFSET($M53,1,0,ROW($M$164)-ROW($M53)-1),0)),ROW($M$164)-ROW($M53)-1,MATCH(P$13,OFFSET($M53,1,0,ROW($M$164)-ROW($M53)-1),0)-1),0))</f>
        <v>0</v>
      </c>
      <c r="Q53" s="193">
        <f ca="1">IF($F54=-1,0,IF(Q$13&lt;=$M53,IF(ISERROR(MATCH(Q$13,OFFSET($M53,1,0,ROW($M$164)-ROW($M53)-1),0)),ROW($M$164)-ROW($M53)-1,MATCH(Q$13,OFFSET($M53,1,0,ROW($M$164)-ROW($M53)-1),0)-1),0))</f>
        <v>0</v>
      </c>
      <c r="R53" s="193">
        <f t="shared" ref="R53" ca="1" si="83">MIN(OFFSET(M53,0,1,,M53))</f>
        <v>2</v>
      </c>
      <c r="S53" s="194">
        <f ca="1">IF($F54=0,OFFSET(ORÇAMENTO!X$15,$F53,0),IF($F54&lt;&gt;-1,OFFSET(QCI!$O$13,$F54,0),""))</f>
        <v>0</v>
      </c>
      <c r="T53" s="195" t="s">
        <v>785</v>
      </c>
      <c r="U53" s="188" t="e" cm="1">
        <f t="array" aca="1" ref="U53" ca="1">IF(AND($R53=2,ACOMPANHAMENTO="BM"),ROUND(U54,4),U55/$S53)</f>
        <v>#DIV/0!</v>
      </c>
      <c r="V53" s="188" t="e" cm="1">
        <f t="array" aca="1" ref="V53" ca="1">IF(AND($R53=2,ACOMPANHAMENTO="BM"),ROUND(V54,4),V55/$S53)</f>
        <v>#DIV/0!</v>
      </c>
      <c r="W53" s="188" t="e" cm="1">
        <f t="array" aca="1" ref="W53" ca="1">IF(AND($R53=2,ACOMPANHAMENTO="BM"),ROUND(W54,4),W55/$S53)</f>
        <v>#DIV/0!</v>
      </c>
      <c r="X53" s="188" t="e" cm="1">
        <f t="array" aca="1" ref="X53" ca="1">IF(AND($R53=2,ACOMPANHAMENTO="BM"),ROUND(X54,4),X55/$S53)</f>
        <v>#DIV/0!</v>
      </c>
      <c r="Y53" s="188" t="e" cm="1">
        <f t="array" aca="1" ref="Y53" ca="1">IF(AND($R53=2,ACOMPANHAMENTO="BM"),ROUND(Y54,4),Y55/$S53)</f>
        <v>#DIV/0!</v>
      </c>
      <c r="Z53" s="188" t="e" cm="1">
        <f t="array" aca="1" ref="Z53" ca="1">IF(AND($R53=2,ACOMPANHAMENTO="BM"),ROUND(Z54,4),Z55/$S53)</f>
        <v>#DIV/0!</v>
      </c>
      <c r="AA53" s="188" t="e" cm="1">
        <f t="array" aca="1" ref="AA53" ca="1">IF(AND($R53=2,ACOMPANHAMENTO="BM"),ROUND(AA54,4),AA55/$S53)</f>
        <v>#DIV/0!</v>
      </c>
      <c r="AB53" s="188" t="e" cm="1">
        <f t="array" aca="1" ref="AB53" ca="1">IF(AND($R53=2,ACOMPANHAMENTO="BM"),ROUND(AB54,4),AB55/$S53)</f>
        <v>#DIV/0!</v>
      </c>
      <c r="AC53" s="188" t="e" cm="1">
        <f t="array" aca="1" ref="AC53" ca="1">IF(AND($R53=2,ACOMPANHAMENTO="BM"),ROUND(AC54,4),AC55/$S53)</f>
        <v>#DIV/0!</v>
      </c>
      <c r="AD53" s="188" t="e" cm="1">
        <f t="array" aca="1" ref="AD53" ca="1">IF(AND($R53=2,ACOMPANHAMENTO="BM"),ROUND(AD54,4),AD55/$S53)</f>
        <v>#DIV/0!</v>
      </c>
      <c r="AE53" s="188" t="e" cm="1">
        <f t="array" aca="1" ref="AE53" ca="1">IF(AND($R53=2,ACOMPANHAMENTO="BM"),ROUND(AE54,4),AE55/$S53)</f>
        <v>#DIV/0!</v>
      </c>
      <c r="AF53" s="188" t="e" cm="1">
        <f t="array" aca="1" ref="AF53" ca="1">IF(AND($R53=2,ACOMPANHAMENTO="BM"),ROUND(AF54,4),AF55/$S53)</f>
        <v>#DIV/0!</v>
      </c>
      <c r="AG53" s="534"/>
    </row>
    <row r="54" spans="1:33" ht="12.75" customHeight="1" x14ac:dyDescent="0.2">
      <c r="E54" s="587"/>
      <c r="F54" s="185">
        <f ca="1">IF(ISERROR(F53),IF(1+COUNTIF($M$13:OFFSET(M53,-1,0),1)&lt;=MAX(QCI!$D$13:$D$24),1+COUNTIF($M$13:OFFSET(M53,-1,0),1),-1),0)</f>
        <v>8</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SUMIF(CÁLCULO!$AM$15:$AW$44,CRONO!E$12,CÁLCULO!$AB$15:$AL$44)/(ORÇAMENTO!$X$15-CÁLCULO.TotalAdmLocal)*CRONO!$F55,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1$</v>
      </c>
      <c r="T55" s="205"/>
      <c r="U55" s="202" cm="1">
        <f t="array" aca="1" ref="U55" ca="1">IF($R53=2,
         IF(AND(ACOMPANHAMENTO="PLE",ISNUMBER($F53)),
                SUMIF((OFFSET(CÁLCULO!$AM$15:$AW$15,$F53,0,OFFSET(ORÇAMENTO!$D$15,CRONO!$F53,0))),CRONO!U$12,OFFSET(CÁLCULO!$AB$15:$AL$15,$F53,0,OFFSET(ORÇAMENTO!$D$15,CRONO!$F53,0)))
                +IF(AND($F55&lt;&gt;"",$F55&lt;&gt;0),
                        SUMIF(CÁLCULO!$AM$15:$AW$44,CRONO!U$12,CÁLCULO!$AB$15:$AL$44)/(ORÇAMENTO!$X$15-CÁLCULO.TotalAdmLocal)*CRONO!$F55,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SUMIF(CÁLCULO!$AM$15:$AW$44,CRONO!V$12,CÁLCULO!$AB$15:$AL$44)/(ORÇAMENTO!$X$15-CÁLCULO.TotalAdmLocal)*CRONO!$F55,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SUMIF(CÁLCULO!$AM$15:$AW$44,CRONO!W$12,CÁLCULO!$AB$15:$AL$44)/(ORÇAMENTO!$X$15-CÁLCULO.TotalAdmLocal)*CRONO!$F55,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SUMIF(CÁLCULO!$AM$15:$AW$44,CRONO!X$12,CÁLCULO!$AB$15:$AL$44)/(ORÇAMENTO!$X$15-CÁLCULO.TotalAdmLocal)*CRONO!$F55,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SUMIF(CÁLCULO!$AM$15:$AW$44,CRONO!Y$12,CÁLCULO!$AB$15:$AL$44)/(ORÇAMENTO!$X$15-CÁLCULO.TotalAdmLocal)*CRONO!$F55,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SUMIF(CÁLCULO!$AM$15:$AW$44,CRONO!Z$12,CÁLCULO!$AB$15:$AL$44)/(ORÇAMENTO!$X$15-CÁLCULO.TotalAdmLocal)*CRONO!$F55,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SUMIF(CÁLCULO!$AM$15:$AW$44,CRONO!AA$12,CÁLCULO!$AB$15:$AL$44)/(ORÇAMENTO!$X$15-CÁLCULO.TotalAdmLocal)*CRONO!$F55,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SUMIF(CÁLCULO!$AM$15:$AW$44,CRONO!AB$12,CÁLCULO!$AB$15:$AL$44)/(ORÇAMENTO!$X$15-CÁLCULO.TotalAdmLocal)*CRONO!$F55,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SUMIF(CÁLCULO!$AM$15:$AW$44,CRONO!AC$12,CÁLCULO!$AB$15:$AL$44)/(ORÇAMENTO!$X$15-CÁLCULO.TotalAdmLocal)*CRONO!$F55,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SUMIF(CÁLCULO!$AM$15:$AW$44,CRONO!AD$12,CÁLCULO!$AB$15:$AL$44)/(ORÇAMENTO!$X$15-CÁLCULO.TotalAdmLocal)*CRONO!$F55,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SUMIF(CÁLCULO!$AM$15:$AW$44,CRONO!AE$12,CÁLCULO!$AB$15:$AL$44)/(ORÇAMENTO!$X$15-CÁLCULO.TotalAdmLocal)*CRONO!$F55,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SUMIF(CÁLCULO!$AM$15:$AW$44,CRONO!AF$12,CÁLCULO!$AB$15:$AL$44)/(ORÇAMENTO!$X$15-CÁLCULO.TotalAdmLocal)*CRONO!$F55,
                        0),
                 AF54*$S53),
          SUMIF(OFFSET($S55,1,0,$R53-2),($M53+1)&amp;"$",OFFSET(AF55,1,0,$R53-2)))</f>
        <v>0</v>
      </c>
      <c r="AG55" s="534"/>
    </row>
    <row r="56" spans="1:33" x14ac:dyDescent="0.2">
      <c r="A56" s="186" t="str">
        <f t="shared" ref="A56" ca="1" si="86">IF($M56&gt;1,_xlfn.CONCAT($I56," ",$J56),"")</f>
        <v/>
      </c>
      <c r="B56" s="185">
        <f t="shared" ref="B56" ca="1" si="87">OFFSET(B56,-3,0)+1</f>
        <v>15</v>
      </c>
      <c r="C56" s="185">
        <f ca="1">IF($R56&lt;&gt;2,0,IF($S56=0,1,IF(F57&gt;0,OFFSET(QCI!$M$13,SUBSTITUTE(F57,".",""),0),OFFSET(ORÇAMENTO!$AA$15,CRONO!$F56,0))/$S56))</f>
        <v>1</v>
      </c>
      <c r="D56" s="185">
        <f ca="1">IF($R56&lt;&gt;2,0,IF($S56=0,1,IF(F57&gt;0,OFFSET(QCI!$N$13,SUBSTITUTE(F57,".",""),0),OFFSET(ORÇAMENTO!$AB$15,CRONO!$F56,0))/$S56))</f>
        <v>1</v>
      </c>
      <c r="E56" s="188" t="e" cm="1">
        <f t="array" aca="1" ref="E56" ca="1">IF(AND($R56=2,ACOMPANHAMENTO="BM"),ROUND(E57,4),E58/$S56)</f>
        <v>#DIV/0!</v>
      </c>
      <c r="F56" s="185" t="e" cm="1">
        <f t="array" aca="1" ref="F56" ca="1">IF(B56&lt;=ORÇAMENTO.MáximoListaCrono,MATCH(B56,ORÇAMENTO.ListaCrono,0),NA())</f>
        <v>#N/A</v>
      </c>
      <c r="G56" s="185" t="str">
        <f t="shared" ref="G56" ca="1" si="88">IF(AND($F57&lt;&gt;-1,$S56&gt;0),"F","")</f>
        <v/>
      </c>
      <c r="H56" s="189" t="str" cm="1">
        <f t="array" aca="1" ref="H56" ca="1">IF(OR(S56=0,S56=""),"Linha",IF(AND(OR(ACOMPANHAMENTO="PLE",$R56&lt;&gt;2),$F57=0),"Linha",ROUND(1-SUM(U56:AG56),4)))</f>
        <v>Linha</v>
      </c>
      <c r="I56" s="190">
        <f ca="1">IF($F57=0,OFFSET(ORÇAMENTO!O$15,$F56,0),IF($F57&lt;&gt;-1,OFFSET(QCI!$D$13,$F57,0),""))</f>
        <v>9</v>
      </c>
      <c r="J56" s="191" t="str">
        <f ca="1">IF($F57=0,OFFSET(ORÇAMENTO!R$15,$F56,0),IF($F57&lt;&gt;-1,OFFSET(QCI!$G$13,$F57,0),""))</f>
        <v/>
      </c>
      <c r="K56" s="191"/>
      <c r="L56" s="191"/>
      <c r="M56" s="192">
        <f ca="1">IF($F57=0,OFFSET(ORÇAMENTO!C$15,$F56,0),1)</f>
        <v>1</v>
      </c>
      <c r="N56" s="193">
        <f ca="1">IF($F57=-1,0,IF(N$13&lt;=$M56,IF(ISERROR(MATCH(N$13,OFFSET($M56,1,0,ROW($M$164)-ROW($M56)-1),0)),ROW($M$164)-ROW($M56)-1,MATCH(N$13,OFFSET($M56,1,0,ROW($M$164)-ROW($M56)-1),0)-1),0))</f>
        <v>2</v>
      </c>
      <c r="O56" s="193">
        <f ca="1">IF($F57=-1,0,IF(O$13&lt;=$M56,IF(ISERROR(MATCH(O$13,OFFSET($M56,1,0,ROW($M$164)-ROW($M56)-1),0)),ROW($M$164)-ROW($M56)-1,MATCH(O$13,OFFSET($M56,1,0,ROW($M$164)-ROW($M56)-1),0)-1),0))</f>
        <v>0</v>
      </c>
      <c r="P56" s="193">
        <f ca="1">IF($F57=-1,0,IF(P$13&lt;=$M56,IF(ISERROR(MATCH(P$13,OFFSET($M56,1,0,ROW($M$164)-ROW($M56)-1),0)),ROW($M$164)-ROW($M56)-1,MATCH(P$13,OFFSET($M56,1,0,ROW($M$164)-ROW($M56)-1),0)-1),0))</f>
        <v>0</v>
      </c>
      <c r="Q56" s="193">
        <f ca="1">IF($F57=-1,0,IF(Q$13&lt;=$M56,IF(ISERROR(MATCH(Q$13,OFFSET($M56,1,0,ROW($M$164)-ROW($M56)-1),0)),ROW($M$164)-ROW($M56)-1,MATCH(Q$13,OFFSET($M56,1,0,ROW($M$164)-ROW($M56)-1),0)-1),0))</f>
        <v>0</v>
      </c>
      <c r="R56" s="193">
        <f t="shared" ref="R56" ca="1" si="89">MIN(OFFSET(M56,0,1,,M56))</f>
        <v>2</v>
      </c>
      <c r="S56" s="194">
        <f ca="1">IF($F57=0,OFFSET(ORÇAMENTO!X$15,$F56,0),IF($F57&lt;&gt;-1,OFFSET(QCI!$O$13,$F57,0),""))</f>
        <v>0</v>
      </c>
      <c r="T56" s="195" t="s">
        <v>785</v>
      </c>
      <c r="U56" s="188" t="e" cm="1">
        <f t="array" aca="1" ref="U56" ca="1">IF(AND($R56=2,ACOMPANHAMENTO="BM"),ROUND(U57,4),U58/$S56)</f>
        <v>#DIV/0!</v>
      </c>
      <c r="V56" s="188" t="e" cm="1">
        <f t="array" aca="1" ref="V56" ca="1">IF(AND($R56=2,ACOMPANHAMENTO="BM"),ROUND(V57,4),V58/$S56)</f>
        <v>#DIV/0!</v>
      </c>
      <c r="W56" s="188" t="e" cm="1">
        <f t="array" aca="1" ref="W56" ca="1">IF(AND($R56=2,ACOMPANHAMENTO="BM"),ROUND(W57,4),W58/$S56)</f>
        <v>#DIV/0!</v>
      </c>
      <c r="X56" s="188" t="e" cm="1">
        <f t="array" aca="1" ref="X56" ca="1">IF(AND($R56=2,ACOMPANHAMENTO="BM"),ROUND(X57,4),X58/$S56)</f>
        <v>#DIV/0!</v>
      </c>
      <c r="Y56" s="188" t="e" cm="1">
        <f t="array" aca="1" ref="Y56" ca="1">IF(AND($R56=2,ACOMPANHAMENTO="BM"),ROUND(Y57,4),Y58/$S56)</f>
        <v>#DIV/0!</v>
      </c>
      <c r="Z56" s="188" t="e" cm="1">
        <f t="array" aca="1" ref="Z56" ca="1">IF(AND($R56=2,ACOMPANHAMENTO="BM"),ROUND(Z57,4),Z58/$S56)</f>
        <v>#DIV/0!</v>
      </c>
      <c r="AA56" s="188" t="e" cm="1">
        <f t="array" aca="1" ref="AA56" ca="1">IF(AND($R56=2,ACOMPANHAMENTO="BM"),ROUND(AA57,4),AA58/$S56)</f>
        <v>#DIV/0!</v>
      </c>
      <c r="AB56" s="188" t="e" cm="1">
        <f t="array" aca="1" ref="AB56" ca="1">IF(AND($R56=2,ACOMPANHAMENTO="BM"),ROUND(AB57,4),AB58/$S56)</f>
        <v>#DIV/0!</v>
      </c>
      <c r="AC56" s="188" t="e" cm="1">
        <f t="array" aca="1" ref="AC56" ca="1">IF(AND($R56=2,ACOMPANHAMENTO="BM"),ROUND(AC57,4),AC58/$S56)</f>
        <v>#DIV/0!</v>
      </c>
      <c r="AD56" s="188" t="e" cm="1">
        <f t="array" aca="1" ref="AD56" ca="1">IF(AND($R56=2,ACOMPANHAMENTO="BM"),ROUND(AD57,4),AD58/$S56)</f>
        <v>#DIV/0!</v>
      </c>
      <c r="AE56" s="188" t="e" cm="1">
        <f t="array" aca="1" ref="AE56" ca="1">IF(AND($R56=2,ACOMPANHAMENTO="BM"),ROUND(AE57,4),AE58/$S56)</f>
        <v>#DIV/0!</v>
      </c>
      <c r="AF56" s="188" t="e" cm="1">
        <f t="array" aca="1" ref="AF56" ca="1">IF(AND($R56=2,ACOMPANHAMENTO="BM"),ROUND(AF57,4),AF58/$S56)</f>
        <v>#DIV/0!</v>
      </c>
      <c r="AG56" s="534"/>
    </row>
    <row r="57" spans="1:33" ht="12.75" customHeight="1" x14ac:dyDescent="0.2">
      <c r="E57" s="587"/>
      <c r="F57" s="185">
        <f ca="1">IF(ISERROR(F56),IF(1+COUNTIF($M$13:OFFSET(M56,-1,0),1)&lt;=MAX(QCI!$D$13:$D$24),1+COUNTIF($M$13:OFFSET(M56,-1,0),1),-1),0)</f>
        <v>9</v>
      </c>
      <c r="G57" s="185" t="str" cm="1">
        <f t="array" aca="1" ref="G57" ca="1">IF(ACOMPANHAMENTO="BM",OFFSET(G57,-1,0),"")</f>
        <v/>
      </c>
      <c r="H57" s="196" t="str" cm="1">
        <f t="array" aca="1" ref="H57" ca="1">IF(OR(S56=0,S56=""),"vazia",IF(AND(OR(ACOMPANHAMENTO="PLE",$R56&lt;&gt;2),$F57=0),"calculada","--&gt;"))</f>
        <v>vazia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SUMIF(CÁLCULO!$AM$15:$AW$44,CRONO!E$12,CÁLCULO!$AB$15:$AL$44)/(ORÇAMENTO!$X$15-CÁLCULO.TotalAdmLocal)*CRONO!$F58,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203"/>
      <c r="S58" s="204" t="str">
        <f t="shared" ref="S58" ca="1" si="91">M56&amp;"$"</f>
        <v>1$</v>
      </c>
      <c r="T58" s="205"/>
      <c r="U58" s="202" cm="1">
        <f t="array" aca="1" ref="U58" ca="1">IF($R56=2,
         IF(AND(ACOMPANHAMENTO="PLE",ISNUMBER($F56)),
                SUMIF((OFFSET(CÁLCULO!$AM$15:$AW$15,$F56,0,OFFSET(ORÇAMENTO!$D$15,CRONO!$F56,0))),CRONO!U$12,OFFSET(CÁLCULO!$AB$15:$AL$15,$F56,0,OFFSET(ORÇAMENTO!$D$15,CRONO!$F56,0)))
                +IF(AND($F58&lt;&gt;"",$F58&lt;&gt;0),
                        SUMIF(CÁLCULO!$AM$15:$AW$44,CRONO!U$12,CÁLCULO!$AB$15:$AL$44)/(ORÇAMENTO!$X$15-CÁLCULO.TotalAdmLocal)*CRONO!$F58,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SUMIF(CÁLCULO!$AM$15:$AW$44,CRONO!V$12,CÁLCULO!$AB$15:$AL$44)/(ORÇAMENTO!$X$15-CÁLCULO.TotalAdmLocal)*CRONO!$F58,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SUMIF(CÁLCULO!$AM$15:$AW$44,CRONO!W$12,CÁLCULO!$AB$15:$AL$44)/(ORÇAMENTO!$X$15-CÁLCULO.TotalAdmLocal)*CRONO!$F58,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SUMIF(CÁLCULO!$AM$15:$AW$44,CRONO!X$12,CÁLCULO!$AB$15:$AL$44)/(ORÇAMENTO!$X$15-CÁLCULO.TotalAdmLocal)*CRONO!$F58,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SUMIF(CÁLCULO!$AM$15:$AW$44,CRONO!Y$12,CÁLCULO!$AB$15:$AL$44)/(ORÇAMENTO!$X$15-CÁLCULO.TotalAdmLocal)*CRONO!$F58,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SUMIF(CÁLCULO!$AM$15:$AW$44,CRONO!Z$12,CÁLCULO!$AB$15:$AL$44)/(ORÇAMENTO!$X$15-CÁLCULO.TotalAdmLocal)*CRONO!$F58,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SUMIF(CÁLCULO!$AM$15:$AW$44,CRONO!AA$12,CÁLCULO!$AB$15:$AL$44)/(ORÇAMENTO!$X$15-CÁLCULO.TotalAdmLocal)*CRONO!$F58,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SUMIF(CÁLCULO!$AM$15:$AW$44,CRONO!AB$12,CÁLCULO!$AB$15:$AL$44)/(ORÇAMENTO!$X$15-CÁLCULO.TotalAdmLocal)*CRONO!$F58,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SUMIF(CÁLCULO!$AM$15:$AW$44,CRONO!AC$12,CÁLCULO!$AB$15:$AL$44)/(ORÇAMENTO!$X$15-CÁLCULO.TotalAdmLocal)*CRONO!$F58,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SUMIF(CÁLCULO!$AM$15:$AW$44,CRONO!AD$12,CÁLCULO!$AB$15:$AL$44)/(ORÇAMENTO!$X$15-CÁLCULO.TotalAdmLocal)*CRONO!$F58,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SUMIF(CÁLCULO!$AM$15:$AW$44,CRONO!AE$12,CÁLCULO!$AB$15:$AL$44)/(ORÇAMENTO!$X$15-CÁLCULO.TotalAdmLocal)*CRONO!$F58,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SUMIF(CÁLCULO!$AM$15:$AW$44,CRONO!AF$12,CÁLCULO!$AB$15:$AL$44)/(ORÇAMENTO!$X$15-CÁLCULO.TotalAdmLocal)*CRONO!$F58,
                        0),
                 AF57*$S56),
          SUMIF(OFFSET($S58,1,0,$R56-2),($M56+1)&amp;"$",OFFSET(AF58,1,0,$R56-2)))</f>
        <v>0</v>
      </c>
      <c r="AG58" s="534"/>
    </row>
    <row r="59" spans="1:33" x14ac:dyDescent="0.2">
      <c r="A59" s="186" t="str">
        <f t="shared" ref="A59" ca="1" si="92">IF($M59&gt;1,_xlfn.CONCAT($I59," ",$J59),"")</f>
        <v/>
      </c>
      <c r="B59" s="185">
        <f t="shared" ref="B59" ca="1" si="93">OFFSET(B59,-3,0)+1</f>
        <v>16</v>
      </c>
      <c r="C59" s="185">
        <f ca="1">IF($R59&lt;&gt;2,0,IF($S59=0,1,IF(F60&gt;0,OFFSET(QCI!$M$13,SUBSTITUTE(F60,".",""),0),OFFSET(ORÇAMENTO!$AA$15,CRONO!$F59,0))/$S59))</f>
        <v>1</v>
      </c>
      <c r="D59" s="185">
        <f ca="1">IF($R59&lt;&gt;2,0,IF($S59=0,1,IF(F60&gt;0,OFFSET(QCI!$N$13,SUBSTITUTE(F60,".",""),0),OFFSET(ORÇAMENTO!$AB$15,CRONO!$F59,0))/$S59))</f>
        <v>1</v>
      </c>
      <c r="E59" s="188" t="e" cm="1">
        <f t="array" aca="1" ref="E59" ca="1">IF(AND($R59=2,ACOMPANHAMENTO="BM"),ROUND(E60,4),E61/$S59)</f>
        <v>#DIV/0!</v>
      </c>
      <c r="F59" s="185" t="e" cm="1">
        <f t="array" aca="1" ref="F59" ca="1">IF(B59&lt;=ORÇAMENTO.MáximoListaCrono,MATCH(B59,ORÇAMENTO.ListaCrono,0),NA())</f>
        <v>#N/A</v>
      </c>
      <c r="G59" s="185" t="str">
        <f t="shared" ref="G59" ca="1" si="94">IF(AND($F60&lt;&gt;-1,$S59&gt;0),"F","")</f>
        <v/>
      </c>
      <c r="H59" s="189" t="str" cm="1">
        <f t="array" aca="1" ref="H59" ca="1">IF(OR(S59=0,S59=""),"Linha",IF(AND(OR(ACOMPANHAMENTO="PLE",$R59&lt;&gt;2),$F60=0),"Linha",ROUND(1-SUM(U59:AG59),4)))</f>
        <v>Linha</v>
      </c>
      <c r="I59" s="190">
        <f ca="1">IF($F60=0,OFFSET(ORÇAMENTO!O$15,$F59,0),IF($F60&lt;&gt;-1,OFFSET(QCI!$D$13,$F60,0),""))</f>
        <v>10</v>
      </c>
      <c r="J59" s="191" t="str">
        <f ca="1">IF($F60=0,OFFSET(ORÇAMENTO!R$15,$F59,0),IF($F60&lt;&gt;-1,OFFSET(QCI!$G$13,$F60,0),""))</f>
        <v/>
      </c>
      <c r="K59" s="191"/>
      <c r="L59" s="191"/>
      <c r="M59" s="192">
        <f ca="1">IF($F60=0,OFFSET(ORÇAMENTO!C$15,$F59,0),1)</f>
        <v>1</v>
      </c>
      <c r="N59" s="193">
        <f ca="1">IF($F60=-1,0,IF(N$13&lt;=$M59,IF(ISERROR(MATCH(N$13,OFFSET($M59,1,0,ROW($M$164)-ROW($M59)-1),0)),ROW($M$164)-ROW($M59)-1,MATCH(N$13,OFFSET($M59,1,0,ROW($M$164)-ROW($M59)-1),0)-1),0))</f>
        <v>2</v>
      </c>
      <c r="O59" s="193">
        <f ca="1">IF($F60=-1,0,IF(O$13&lt;=$M59,IF(ISERROR(MATCH(O$13,OFFSET($M59,1,0,ROW($M$164)-ROW($M59)-1),0)),ROW($M$164)-ROW($M59)-1,MATCH(O$13,OFFSET($M59,1,0,ROW($M$164)-ROW($M59)-1),0)-1),0))</f>
        <v>0</v>
      </c>
      <c r="P59" s="193">
        <f ca="1">IF($F60=-1,0,IF(P$13&lt;=$M59,IF(ISERROR(MATCH(P$13,OFFSET($M59,1,0,ROW($M$164)-ROW($M59)-1),0)),ROW($M$164)-ROW($M59)-1,MATCH(P$13,OFFSET($M59,1,0,ROW($M$164)-ROW($M59)-1),0)-1),0))</f>
        <v>0</v>
      </c>
      <c r="Q59" s="193">
        <f ca="1">IF($F60=-1,0,IF(Q$13&lt;=$M59,IF(ISERROR(MATCH(Q$13,OFFSET($M59,1,0,ROW($M$164)-ROW($M59)-1),0)),ROW($M$164)-ROW($M59)-1,MATCH(Q$13,OFFSET($M59,1,0,ROW($M$164)-ROW($M59)-1),0)-1),0))</f>
        <v>0</v>
      </c>
      <c r="R59" s="193">
        <f t="shared" ref="R59" ca="1" si="95">MIN(OFFSET(M59,0,1,,M59))</f>
        <v>2</v>
      </c>
      <c r="S59" s="194">
        <f ca="1">IF($F60=0,OFFSET(ORÇAMENTO!X$15,$F59,0),IF($F60&lt;&gt;-1,OFFSET(QCI!$O$13,$F60,0),""))</f>
        <v>0</v>
      </c>
      <c r="T59" s="195" t="s">
        <v>785</v>
      </c>
      <c r="U59" s="188" t="e" cm="1">
        <f t="array" aca="1" ref="U59" ca="1">IF(AND($R59=2,ACOMPANHAMENTO="BM"),ROUND(U60,4),U61/$S59)</f>
        <v>#DIV/0!</v>
      </c>
      <c r="V59" s="188" t="e" cm="1">
        <f t="array" aca="1" ref="V59" ca="1">IF(AND($R59=2,ACOMPANHAMENTO="BM"),ROUND(V60,4),V61/$S59)</f>
        <v>#DIV/0!</v>
      </c>
      <c r="W59" s="188" t="e" cm="1">
        <f t="array" aca="1" ref="W59" ca="1">IF(AND($R59=2,ACOMPANHAMENTO="BM"),ROUND(W60,4),W61/$S59)</f>
        <v>#DIV/0!</v>
      </c>
      <c r="X59" s="188" t="e" cm="1">
        <f t="array" aca="1" ref="X59" ca="1">IF(AND($R59=2,ACOMPANHAMENTO="BM"),ROUND(X60,4),X61/$S59)</f>
        <v>#DIV/0!</v>
      </c>
      <c r="Y59" s="188" t="e" cm="1">
        <f t="array" aca="1" ref="Y59" ca="1">IF(AND($R59=2,ACOMPANHAMENTO="BM"),ROUND(Y60,4),Y61/$S59)</f>
        <v>#DIV/0!</v>
      </c>
      <c r="Z59" s="188" t="e" cm="1">
        <f t="array" aca="1" ref="Z59" ca="1">IF(AND($R59=2,ACOMPANHAMENTO="BM"),ROUND(Z60,4),Z61/$S59)</f>
        <v>#DIV/0!</v>
      </c>
      <c r="AA59" s="188" t="e" cm="1">
        <f t="array" aca="1" ref="AA59" ca="1">IF(AND($R59=2,ACOMPANHAMENTO="BM"),ROUND(AA60,4),AA61/$S59)</f>
        <v>#DIV/0!</v>
      </c>
      <c r="AB59" s="188" t="e" cm="1">
        <f t="array" aca="1" ref="AB59" ca="1">IF(AND($R59=2,ACOMPANHAMENTO="BM"),ROUND(AB60,4),AB61/$S59)</f>
        <v>#DIV/0!</v>
      </c>
      <c r="AC59" s="188" t="e" cm="1">
        <f t="array" aca="1" ref="AC59" ca="1">IF(AND($R59=2,ACOMPANHAMENTO="BM"),ROUND(AC60,4),AC61/$S59)</f>
        <v>#DIV/0!</v>
      </c>
      <c r="AD59" s="188" t="e" cm="1">
        <f t="array" aca="1" ref="AD59" ca="1">IF(AND($R59=2,ACOMPANHAMENTO="BM"),ROUND(AD60,4),AD61/$S59)</f>
        <v>#DIV/0!</v>
      </c>
      <c r="AE59" s="188" t="e" cm="1">
        <f t="array" aca="1" ref="AE59" ca="1">IF(AND($R59=2,ACOMPANHAMENTO="BM"),ROUND(AE60,4),AE61/$S59)</f>
        <v>#DIV/0!</v>
      </c>
      <c r="AF59" s="188" t="e" cm="1">
        <f t="array" aca="1" ref="AF59" ca="1">IF(AND($R59=2,ACOMPANHAMENTO="BM"),ROUND(AF60,4),AF61/$S59)</f>
        <v>#DIV/0!</v>
      </c>
      <c r="AG59" s="534"/>
    </row>
    <row r="60" spans="1:33" ht="12.75" customHeight="1" x14ac:dyDescent="0.2">
      <c r="E60" s="587"/>
      <c r="F60" s="185">
        <f ca="1">IF(ISERROR(F59),IF(1+COUNTIF($M$13:OFFSET(M59,-1,0),1)&lt;=MAX(QCI!$D$13:$D$24),1+COUNTIF($M$13:OFFSET(M59,-1,0),1),-1),0)</f>
        <v>10</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SUMIF(CÁLCULO!$AM$15:$AW$44,CRONO!E$12,CÁLCULO!$AB$15:$AL$44)/(ORÇAMENTO!$X$15-CÁLCULO.TotalAdmLocal)*CRONO!$F61,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1$</v>
      </c>
      <c r="T61" s="205"/>
      <c r="U61" s="202" cm="1">
        <f t="array" aca="1" ref="U61" ca="1">IF($R59=2,
         IF(AND(ACOMPANHAMENTO="PLE",ISNUMBER($F59)),
                SUMIF((OFFSET(CÁLCULO!$AM$15:$AW$15,$F59,0,OFFSET(ORÇAMENTO!$D$15,CRONO!$F59,0))),CRONO!U$12,OFFSET(CÁLCULO!$AB$15:$AL$15,$F59,0,OFFSET(ORÇAMENTO!$D$15,CRONO!$F59,0)))
                +IF(AND($F61&lt;&gt;"",$F61&lt;&gt;0),
                        SUMIF(CÁLCULO!$AM$15:$AW$44,CRONO!U$12,CÁLCULO!$AB$15:$AL$44)/(ORÇAMENTO!$X$15-CÁLCULO.TotalAdmLocal)*CRONO!$F61,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SUMIF(CÁLCULO!$AM$15:$AW$44,CRONO!V$12,CÁLCULO!$AB$15:$AL$44)/(ORÇAMENTO!$X$15-CÁLCULO.TotalAdmLocal)*CRONO!$F61,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SUMIF(CÁLCULO!$AM$15:$AW$44,CRONO!W$12,CÁLCULO!$AB$15:$AL$44)/(ORÇAMENTO!$X$15-CÁLCULO.TotalAdmLocal)*CRONO!$F61,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SUMIF(CÁLCULO!$AM$15:$AW$44,CRONO!X$12,CÁLCULO!$AB$15:$AL$44)/(ORÇAMENTO!$X$15-CÁLCULO.TotalAdmLocal)*CRONO!$F61,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SUMIF(CÁLCULO!$AM$15:$AW$44,CRONO!Y$12,CÁLCULO!$AB$15:$AL$44)/(ORÇAMENTO!$X$15-CÁLCULO.TotalAdmLocal)*CRONO!$F61,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SUMIF(CÁLCULO!$AM$15:$AW$44,CRONO!Z$12,CÁLCULO!$AB$15:$AL$44)/(ORÇAMENTO!$X$15-CÁLCULO.TotalAdmLocal)*CRONO!$F61,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SUMIF(CÁLCULO!$AM$15:$AW$44,CRONO!AA$12,CÁLCULO!$AB$15:$AL$44)/(ORÇAMENTO!$X$15-CÁLCULO.TotalAdmLocal)*CRONO!$F61,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SUMIF(CÁLCULO!$AM$15:$AW$44,CRONO!AB$12,CÁLCULO!$AB$15:$AL$44)/(ORÇAMENTO!$X$15-CÁLCULO.TotalAdmLocal)*CRONO!$F61,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SUMIF(CÁLCULO!$AM$15:$AW$44,CRONO!AC$12,CÁLCULO!$AB$15:$AL$44)/(ORÇAMENTO!$X$15-CÁLCULO.TotalAdmLocal)*CRONO!$F61,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SUMIF(CÁLCULO!$AM$15:$AW$44,CRONO!AD$12,CÁLCULO!$AB$15:$AL$44)/(ORÇAMENTO!$X$15-CÁLCULO.TotalAdmLocal)*CRONO!$F61,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SUMIF(CÁLCULO!$AM$15:$AW$44,CRONO!AE$12,CÁLCULO!$AB$15:$AL$44)/(ORÇAMENTO!$X$15-CÁLCULO.TotalAdmLocal)*CRONO!$F61,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SUMIF(CÁLCULO!$AM$15:$AW$44,CRONO!AF$12,CÁLCULO!$AB$15:$AL$44)/(ORÇAMENTO!$X$15-CÁLCULO.TotalAdmLocal)*CRONO!$F61,
                        0),
                 AF60*$S59),
          SUMIF(OFFSET($S61,1,0,$R59-2),($M59+1)&amp;"$",OFFSET(AF61,1,0,$R59-2)))</f>
        <v>0</v>
      </c>
      <c r="AG61" s="534"/>
    </row>
    <row r="62" spans="1:33" x14ac:dyDescent="0.2">
      <c r="A62" s="186" t="str">
        <f t="shared" ref="A62" ca="1" si="98">IF($M62&gt;1,_xlfn.CONCAT($I62," ",$J62),"")</f>
        <v/>
      </c>
      <c r="B62" s="185">
        <f t="shared" ref="B62" ca="1" si="99">OFFSET(B62,-3,0)+1</f>
        <v>17</v>
      </c>
      <c r="C62" s="185">
        <f ca="1">IF($R62&lt;&gt;2,0,IF($S62=0,1,IF(F63&gt;0,OFFSET(QCI!$M$13,SUBSTITUTE(F63,".",""),0),OFFSET(ORÇAMENTO!$AA$15,CRONO!$F62,0))/$S62))</f>
        <v>0</v>
      </c>
      <c r="D62" s="185">
        <f ca="1">IF($R62&lt;&gt;2,0,IF($S62=0,1,IF(F63&gt;0,OFFSET(QCI!$N$13,SUBSTITUTE(F63,".",""),0),OFFSET(ORÇAMENTO!$AB$15,CRONO!$F62,0))/$S62))</f>
        <v>0</v>
      </c>
      <c r="E62" s="188" t="e" cm="1">
        <f t="array" aca="1" ref="E62" ca="1">IF(AND($R62=2,ACOMPANHAMENTO="BM"),ROUND(E63,4),E64/$S62)</f>
        <v>#VALUE!</v>
      </c>
      <c r="F62" s="185" t="e" cm="1">
        <f t="array" aca="1" ref="F62" ca="1">IF(B62&lt;=ORÇAMENTO.MáximoListaCrono,MATCH(B62,ORÇAMENTO.ListaCrono,0),NA())</f>
        <v>#N/A</v>
      </c>
      <c r="G62" s="185" t="str">
        <f t="shared" ref="G62" ca="1" si="100">IF(AND($F63&lt;&gt;-1,$S62&gt;0),"F","")</f>
        <v/>
      </c>
      <c r="H62" s="189" t="str" cm="1">
        <f t="array" aca="1" ref="H62" ca="1">IF(OR(S62=0,S62=""),"Linha",IF(AND(OR(ACOMPANHAMENTO="PLE",$R62&lt;&gt;2),$F63=0),"Linha",ROUND(1-SUM(U62:AG62),4)))</f>
        <v>Linha</v>
      </c>
      <c r="I62" s="190" t="str">
        <f ca="1">IF($F63=0,OFFSET(ORÇAMENTO!O$15,$F62,0),IF($F63&lt;&gt;-1,OFFSET(QCI!$D$13,$F63,0),""))</f>
        <v/>
      </c>
      <c r="J62" s="191" t="str">
        <f ca="1">IF($F63=0,OFFSET(ORÇAMENTO!R$15,$F62,0),IF($F63&lt;&gt;-1,OFFSET(QCI!$G$13,$F63,0),""))</f>
        <v/>
      </c>
      <c r="K62" s="191"/>
      <c r="L62" s="191"/>
      <c r="M62" s="192">
        <f ca="1">IF($F63=0,OFFSET(ORÇAMENTO!C$15,$F62,0),1)</f>
        <v>1</v>
      </c>
      <c r="N62" s="193">
        <f ca="1">IF($F63=-1,0,IF(N$13&lt;=$M62,IF(ISERROR(MATCH(N$13,OFFSET($M62,1,0,ROW($M$164)-ROW($M62)-1),0)),ROW($M$164)-ROW($M62)-1,MATCH(N$13,OFFSET($M62,1,0,ROW($M$164)-ROW($M62)-1),0)-1),0))</f>
        <v>0</v>
      </c>
      <c r="O62" s="193">
        <f ca="1">IF($F63=-1,0,IF(O$13&lt;=$M62,IF(ISERROR(MATCH(O$13,OFFSET($M62,1,0,ROW($M$164)-ROW($M62)-1),0)),ROW($M$164)-ROW($M62)-1,MATCH(O$13,OFFSET($M62,1,0,ROW($M$164)-ROW($M62)-1),0)-1),0))</f>
        <v>0</v>
      </c>
      <c r="P62" s="193">
        <f ca="1">IF($F63=-1,0,IF(P$13&lt;=$M62,IF(ISERROR(MATCH(P$13,OFFSET($M62,1,0,ROW($M$164)-ROW($M62)-1),0)),ROW($M$164)-ROW($M62)-1,MATCH(P$13,OFFSET($M62,1,0,ROW($M$164)-ROW($M62)-1),0)-1),0))</f>
        <v>0</v>
      </c>
      <c r="Q62" s="193">
        <f ca="1">IF($F63=-1,0,IF(Q$13&lt;=$M62,IF(ISERROR(MATCH(Q$13,OFFSET($M62,1,0,ROW($M$164)-ROW($M62)-1),0)),ROW($M$164)-ROW($M62)-1,MATCH(Q$13,OFFSET($M62,1,0,ROW($M$164)-ROW($M62)-1),0)-1),0))</f>
        <v>0</v>
      </c>
      <c r="R62" s="193">
        <f t="shared" ref="R62" ca="1" si="101">MIN(OFFSET(M62,0,1,,M62))</f>
        <v>0</v>
      </c>
      <c r="S62" s="194" t="str">
        <f ca="1">IF($F63=0,OFFSET(ORÇAMENTO!X$15,$F62,0),IF($F63&lt;&gt;-1,OFFSET(QCI!$O$13,$F63,0),""))</f>
        <v/>
      </c>
      <c r="T62" s="195" t="s">
        <v>785</v>
      </c>
      <c r="U62" s="188" t="e" cm="1">
        <f t="array" aca="1" ref="U62" ca="1">IF(AND($R62=2,ACOMPANHAMENTO="BM"),ROUND(U63,4),U64/$S62)</f>
        <v>#VALUE!</v>
      </c>
      <c r="V62" s="188" t="e" cm="1">
        <f t="array" aca="1" ref="V62" ca="1">IF(AND($R62=2,ACOMPANHAMENTO="BM"),ROUND(V63,4),V64/$S62)</f>
        <v>#VALUE!</v>
      </c>
      <c r="W62" s="188" t="e" cm="1">
        <f t="array" aca="1" ref="W62" ca="1">IF(AND($R62=2,ACOMPANHAMENTO="BM"),ROUND(W63,4),W64/$S62)</f>
        <v>#VALUE!</v>
      </c>
      <c r="X62" s="188" t="e" cm="1">
        <f t="array" aca="1" ref="X62" ca="1">IF(AND($R62=2,ACOMPANHAMENTO="BM"),ROUND(X63,4),X64/$S62)</f>
        <v>#VALUE!</v>
      </c>
      <c r="Y62" s="188" t="e" cm="1">
        <f t="array" aca="1" ref="Y62" ca="1">IF(AND($R62=2,ACOMPANHAMENTO="BM"),ROUND(Y63,4),Y64/$S62)</f>
        <v>#VALUE!</v>
      </c>
      <c r="Z62" s="188" t="e" cm="1">
        <f t="array" aca="1" ref="Z62" ca="1">IF(AND($R62=2,ACOMPANHAMENTO="BM"),ROUND(Z63,4),Z64/$S62)</f>
        <v>#VALUE!</v>
      </c>
      <c r="AA62" s="188" t="e" cm="1">
        <f t="array" aca="1" ref="AA62" ca="1">IF(AND($R62=2,ACOMPANHAMENTO="BM"),ROUND(AA63,4),AA64/$S62)</f>
        <v>#VALUE!</v>
      </c>
      <c r="AB62" s="188" t="e" cm="1">
        <f t="array" aca="1" ref="AB62" ca="1">IF(AND($R62=2,ACOMPANHAMENTO="BM"),ROUND(AB63,4),AB64/$S62)</f>
        <v>#VALUE!</v>
      </c>
      <c r="AC62" s="188" t="e" cm="1">
        <f t="array" aca="1" ref="AC62" ca="1">IF(AND($R62=2,ACOMPANHAMENTO="BM"),ROUND(AC63,4),AC64/$S62)</f>
        <v>#VALUE!</v>
      </c>
      <c r="AD62" s="188" t="e" cm="1">
        <f t="array" aca="1" ref="AD62" ca="1">IF(AND($R62=2,ACOMPANHAMENTO="BM"),ROUND(AD63,4),AD64/$S62)</f>
        <v>#VALUE!</v>
      </c>
      <c r="AE62" s="188" t="e" cm="1">
        <f t="array" aca="1" ref="AE62" ca="1">IF(AND($R62=2,ACOMPANHAMENTO="BM"),ROUND(AE63,4),AE64/$S62)</f>
        <v>#VALUE!</v>
      </c>
      <c r="AF62" s="188" t="e" cm="1">
        <f t="array" aca="1" ref="AF62" ca="1">IF(AND($R62=2,ACOMPANHAMENTO="BM"),ROUND(AF63,4),AF64/$S62)</f>
        <v>#VALUE!</v>
      </c>
      <c r="AG62" s="534"/>
    </row>
    <row r="63" spans="1:33" ht="12.75" customHeight="1" x14ac:dyDescent="0.2">
      <c r="E63" s="587"/>
      <c r="F63" s="185">
        <f ca="1">IF(ISERROR(F62),IF(1+COUNTIF($M$13:OFFSET(M62,-1,0),1)&lt;=MAX(QCI!$D$13:$D$24),1+COUNTIF($M$13:OFFSET(M62,-1,0),1),-1),0)</f>
        <v>-1</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SUMIF(CÁLCULO!$AM$15:$AW$44,CRONO!E$12,CÁLCULO!$AB$15:$AL$44)/(ORÇAMENTO!$X$15-CÁLCULO.TotalAdmLocal)*CRONO!$F64,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103">M62&amp;"$"</f>
        <v>1$</v>
      </c>
      <c r="T64" s="205"/>
      <c r="U64" s="202" cm="1">
        <f t="array" aca="1" ref="U64" ca="1">IF($R62=2,
         IF(AND(ACOMPANHAMENTO="PLE",ISNUMBER($F62)),
                SUMIF((OFFSET(CÁLCULO!$AM$15:$AW$15,$F62,0,OFFSET(ORÇAMENTO!$D$15,CRONO!$F62,0))),CRONO!U$12,OFFSET(CÁLCULO!$AB$15:$AL$15,$F62,0,OFFSET(ORÇAMENTO!$D$15,CRONO!$F62,0)))
                +IF(AND($F64&lt;&gt;"",$F64&lt;&gt;0),
                        SUMIF(CÁLCULO!$AM$15:$AW$44,CRONO!U$12,CÁLCULO!$AB$15:$AL$44)/(ORÇAMENTO!$X$15-CÁLCULO.TotalAdmLocal)*CRONO!$F64,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SUMIF(CÁLCULO!$AM$15:$AW$44,CRONO!V$12,CÁLCULO!$AB$15:$AL$44)/(ORÇAMENTO!$X$15-CÁLCULO.TotalAdmLocal)*CRONO!$F64,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SUMIF(CÁLCULO!$AM$15:$AW$44,CRONO!W$12,CÁLCULO!$AB$15:$AL$44)/(ORÇAMENTO!$X$15-CÁLCULO.TotalAdmLocal)*CRONO!$F64,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SUMIF(CÁLCULO!$AM$15:$AW$44,CRONO!X$12,CÁLCULO!$AB$15:$AL$44)/(ORÇAMENTO!$X$15-CÁLCULO.TotalAdmLocal)*CRONO!$F64,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SUMIF(CÁLCULO!$AM$15:$AW$44,CRONO!Y$12,CÁLCULO!$AB$15:$AL$44)/(ORÇAMENTO!$X$15-CÁLCULO.TotalAdmLocal)*CRONO!$F64,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SUMIF(CÁLCULO!$AM$15:$AW$44,CRONO!Z$12,CÁLCULO!$AB$15:$AL$44)/(ORÇAMENTO!$X$15-CÁLCULO.TotalAdmLocal)*CRONO!$F64,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SUMIF(CÁLCULO!$AM$15:$AW$44,CRONO!AA$12,CÁLCULO!$AB$15:$AL$44)/(ORÇAMENTO!$X$15-CÁLCULO.TotalAdmLocal)*CRONO!$F64,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SUMIF(CÁLCULO!$AM$15:$AW$44,CRONO!AB$12,CÁLCULO!$AB$15:$AL$44)/(ORÇAMENTO!$X$15-CÁLCULO.TotalAdmLocal)*CRONO!$F64,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SUMIF(CÁLCULO!$AM$15:$AW$44,CRONO!AC$12,CÁLCULO!$AB$15:$AL$44)/(ORÇAMENTO!$X$15-CÁLCULO.TotalAdmLocal)*CRONO!$F64,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SUMIF(CÁLCULO!$AM$15:$AW$44,CRONO!AD$12,CÁLCULO!$AB$15:$AL$44)/(ORÇAMENTO!$X$15-CÁLCULO.TotalAdmLocal)*CRONO!$F64,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SUMIF(CÁLCULO!$AM$15:$AW$44,CRONO!AE$12,CÁLCULO!$AB$15:$AL$44)/(ORÇAMENTO!$X$15-CÁLCULO.TotalAdmLocal)*CRONO!$F64,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SUMIF(CÁLCULO!$AM$15:$AW$44,CRONO!AF$12,CÁLCULO!$AB$15:$AL$44)/(ORÇAMENTO!$X$15-CÁLCULO.TotalAdmLocal)*CRONO!$F64,
                        0),
                 AF63*$S62),
          SUMIF(OFFSET($S64,1,0,$R62-2),($M62+1)&amp;"$",OFFSET(AF64,1,0,$R62-2)))</f>
        <v>0</v>
      </c>
      <c r="AG64" s="534"/>
    </row>
    <row r="65" spans="1:33" x14ac:dyDescent="0.2">
      <c r="A65" s="186" t="str">
        <f t="shared" ref="A65" ca="1" si="104">IF($M65&gt;1,_xlfn.CONCAT($I65," ",$J65),"")</f>
        <v/>
      </c>
      <c r="B65" s="185">
        <f t="shared" ref="B65" ca="1" si="105">OFFSET(B65,-3,0)+1</f>
        <v>18</v>
      </c>
      <c r="C65" s="185">
        <f ca="1">IF($R65&lt;&gt;2,0,IF($S65=0,1,IF(F66&gt;0,OFFSET(QCI!$M$13,SUBSTITUTE(F66,".",""),0),OFFSET(ORÇAMENTO!$AA$15,CRONO!$F65,0))/$S65))</f>
        <v>0</v>
      </c>
      <c r="D65" s="185">
        <f ca="1">IF($R65&lt;&gt;2,0,IF($S65=0,1,IF(F66&gt;0,OFFSET(QCI!$N$13,SUBSTITUTE(F66,".",""),0),OFFSET(ORÇAMENTO!$AB$15,CRONO!$F65,0))/$S65))</f>
        <v>0</v>
      </c>
      <c r="E65" s="188" t="e" cm="1">
        <f t="array" aca="1" ref="E65" ca="1">IF(AND($R65=2,ACOMPANHAMENTO="BM"),ROUND(E66,4),E67/$S65)</f>
        <v>#VALUE!</v>
      </c>
      <c r="F65" s="185" t="e" cm="1">
        <f t="array" aca="1" ref="F65" ca="1">IF(B65&lt;=ORÇAMENTO.MáximoListaCrono,MATCH(B65,ORÇAMENTO.ListaCrono,0),NA())</f>
        <v>#N/A</v>
      </c>
      <c r="G65" s="185" t="str">
        <f t="shared" ref="G65" ca="1" si="106">IF(AND($F66&lt;&gt;-1,$S65&gt;0),"F","")</f>
        <v/>
      </c>
      <c r="H65" s="189" t="str" cm="1">
        <f t="array" aca="1" ref="H65" ca="1">IF(OR(S65=0,S65=""),"Linha",IF(AND(OR(ACOMPANHAMENTO="PLE",$R65&lt;&gt;2),$F66=0),"Linha",ROUND(1-SUM(U65:AG65),4)))</f>
        <v>Linha</v>
      </c>
      <c r="I65" s="190" t="str">
        <f ca="1">IF($F66=0,OFFSET(ORÇAMENTO!O$15,$F65,0),IF($F66&lt;&gt;-1,OFFSET(QCI!$D$13,$F66,0),""))</f>
        <v/>
      </c>
      <c r="J65" s="191" t="str">
        <f ca="1">IF($F66=0,OFFSET(ORÇAMENTO!R$15,$F65,0),IF($F66&lt;&gt;-1,OFFSET(QCI!$G$13,$F66,0),""))</f>
        <v/>
      </c>
      <c r="K65" s="191"/>
      <c r="L65" s="191"/>
      <c r="M65" s="192">
        <f ca="1">IF($F66=0,OFFSET(ORÇAMENTO!C$15,$F65,0),1)</f>
        <v>1</v>
      </c>
      <c r="N65" s="193">
        <f ca="1">IF($F66=-1,0,IF(N$13&lt;=$M65,IF(ISERROR(MATCH(N$13,OFFSET($M65,1,0,ROW($M$164)-ROW($M65)-1),0)),ROW($M$164)-ROW($M65)-1,MATCH(N$13,OFFSET($M65,1,0,ROW($M$164)-ROW($M65)-1),0)-1),0))</f>
        <v>0</v>
      </c>
      <c r="O65" s="193">
        <f ca="1">IF($F66=-1,0,IF(O$13&lt;=$M65,IF(ISERROR(MATCH(O$13,OFFSET($M65,1,0,ROW($M$164)-ROW($M65)-1),0)),ROW($M$164)-ROW($M65)-1,MATCH(O$13,OFFSET($M65,1,0,ROW($M$164)-ROW($M65)-1),0)-1),0))</f>
        <v>0</v>
      </c>
      <c r="P65" s="193">
        <f ca="1">IF($F66=-1,0,IF(P$13&lt;=$M65,IF(ISERROR(MATCH(P$13,OFFSET($M65,1,0,ROW($M$164)-ROW($M65)-1),0)),ROW($M$164)-ROW($M65)-1,MATCH(P$13,OFFSET($M65,1,0,ROW($M$164)-ROW($M65)-1),0)-1),0))</f>
        <v>0</v>
      </c>
      <c r="Q65" s="193">
        <f ca="1">IF($F66=-1,0,IF(Q$13&lt;=$M65,IF(ISERROR(MATCH(Q$13,OFFSET($M65,1,0,ROW($M$164)-ROW($M65)-1),0)),ROW($M$164)-ROW($M65)-1,MATCH(Q$13,OFFSET($M65,1,0,ROW($M$164)-ROW($M65)-1),0)-1),0))</f>
        <v>0</v>
      </c>
      <c r="R65" s="193">
        <f t="shared" ref="R65" ca="1" si="107">MIN(OFFSET(M65,0,1,,M65))</f>
        <v>0</v>
      </c>
      <c r="S65" s="194" t="str">
        <f ca="1">IF($F66=0,OFFSET(ORÇAMENTO!X$15,$F65,0),IF($F66&lt;&gt;-1,OFFSET(QCI!$O$13,$F66,0),""))</f>
        <v/>
      </c>
      <c r="T65" s="195" t="s">
        <v>785</v>
      </c>
      <c r="U65" s="188" t="e" cm="1">
        <f t="array" aca="1" ref="U65" ca="1">IF(AND($R65=2,ACOMPANHAMENTO="BM"),ROUND(U66,4),U67/$S65)</f>
        <v>#VALUE!</v>
      </c>
      <c r="V65" s="188" t="e" cm="1">
        <f t="array" aca="1" ref="V65" ca="1">IF(AND($R65=2,ACOMPANHAMENTO="BM"),ROUND(V66,4),V67/$S65)</f>
        <v>#VALUE!</v>
      </c>
      <c r="W65" s="188" t="e" cm="1">
        <f t="array" aca="1" ref="W65" ca="1">IF(AND($R65=2,ACOMPANHAMENTO="BM"),ROUND(W66,4),W67/$S65)</f>
        <v>#VALUE!</v>
      </c>
      <c r="X65" s="188" t="e" cm="1">
        <f t="array" aca="1" ref="X65" ca="1">IF(AND($R65=2,ACOMPANHAMENTO="BM"),ROUND(X66,4),X67/$S65)</f>
        <v>#VALUE!</v>
      </c>
      <c r="Y65" s="188" t="e" cm="1">
        <f t="array" aca="1" ref="Y65" ca="1">IF(AND($R65=2,ACOMPANHAMENTO="BM"),ROUND(Y66,4),Y67/$S65)</f>
        <v>#VALUE!</v>
      </c>
      <c r="Z65" s="188" t="e" cm="1">
        <f t="array" aca="1" ref="Z65" ca="1">IF(AND($R65=2,ACOMPANHAMENTO="BM"),ROUND(Z66,4),Z67/$S65)</f>
        <v>#VALUE!</v>
      </c>
      <c r="AA65" s="188" t="e" cm="1">
        <f t="array" aca="1" ref="AA65" ca="1">IF(AND($R65=2,ACOMPANHAMENTO="BM"),ROUND(AA66,4),AA67/$S65)</f>
        <v>#VALUE!</v>
      </c>
      <c r="AB65" s="188" t="e" cm="1">
        <f t="array" aca="1" ref="AB65" ca="1">IF(AND($R65=2,ACOMPANHAMENTO="BM"),ROUND(AB66,4),AB67/$S65)</f>
        <v>#VALUE!</v>
      </c>
      <c r="AC65" s="188" t="e" cm="1">
        <f t="array" aca="1" ref="AC65" ca="1">IF(AND($R65=2,ACOMPANHAMENTO="BM"),ROUND(AC66,4),AC67/$S65)</f>
        <v>#VALUE!</v>
      </c>
      <c r="AD65" s="188" t="e" cm="1">
        <f t="array" aca="1" ref="AD65" ca="1">IF(AND($R65=2,ACOMPANHAMENTO="BM"),ROUND(AD66,4),AD67/$S65)</f>
        <v>#VALUE!</v>
      </c>
      <c r="AE65" s="188" t="e" cm="1">
        <f t="array" aca="1" ref="AE65" ca="1">IF(AND($R65=2,ACOMPANHAMENTO="BM"),ROUND(AE66,4),AE67/$S65)</f>
        <v>#VALUE!</v>
      </c>
      <c r="AF65" s="188" t="e" cm="1">
        <f t="array" aca="1" ref="AF65" ca="1">IF(AND($R65=2,ACOMPANHAMENTO="BM"),ROUND(AF66,4),AF67/$S65)</f>
        <v>#VALUE!</v>
      </c>
      <c r="AG65" s="534"/>
    </row>
    <row r="66" spans="1:33" ht="12.75" customHeight="1" x14ac:dyDescent="0.2">
      <c r="E66" s="587"/>
      <c r="F66" s="185">
        <f ca="1">IF(ISERROR(F65),IF(1+COUNTIF($M$13:OFFSET(M65,-1,0),1)&lt;=MAX(QCI!$D$13:$D$24),1+COUNTIF($M$13:OFFSET(M65,-1,0),1),-1),0)</f>
        <v>-1</v>
      </c>
      <c r="G66" s="185" t="str" cm="1">
        <f t="array" aca="1" ref="G66" ca="1">IF(ACOMPANHAMENTO="BM",OFFSET(G66,-1,0),"")</f>
        <v/>
      </c>
      <c r="H66" s="196" t="str" cm="1">
        <f t="array" aca="1" ref="H66" ca="1">IF(OR(S65=0,S65=""),"vazia",IF(AND(OR(ACOMPANHAMENTO="PLE",$R65&lt;&gt;2),$F66=0),"calculada","--&gt;"))</f>
        <v>vazia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SUMIF(CÁLCULO!$AM$15:$AW$44,CRONO!E$12,CÁLCULO!$AB$15:$AL$44)/(ORÇAMENTO!$X$15-CÁLCULO.TotalAdmLocal)*CRONO!$F67,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9">M65&amp;"$"</f>
        <v>1$</v>
      </c>
      <c r="T67" s="205"/>
      <c r="U67" s="202" cm="1">
        <f t="array" aca="1" ref="U67" ca="1">IF($R65=2,
         IF(AND(ACOMPANHAMENTO="PLE",ISNUMBER($F65)),
                SUMIF((OFFSET(CÁLCULO!$AM$15:$AW$15,$F65,0,OFFSET(ORÇAMENTO!$D$15,CRONO!$F65,0))),CRONO!U$12,OFFSET(CÁLCULO!$AB$15:$AL$15,$F65,0,OFFSET(ORÇAMENTO!$D$15,CRONO!$F65,0)))
                +IF(AND($F67&lt;&gt;"",$F67&lt;&gt;0),
                        SUMIF(CÁLCULO!$AM$15:$AW$44,CRONO!U$12,CÁLCULO!$AB$15:$AL$44)/(ORÇAMENTO!$X$15-CÁLCULO.TotalAdmLocal)*CRONO!$F67,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SUMIF(CÁLCULO!$AM$15:$AW$44,CRONO!V$12,CÁLCULO!$AB$15:$AL$44)/(ORÇAMENTO!$X$15-CÁLCULO.TotalAdmLocal)*CRONO!$F67,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SUMIF(CÁLCULO!$AM$15:$AW$44,CRONO!W$12,CÁLCULO!$AB$15:$AL$44)/(ORÇAMENTO!$X$15-CÁLCULO.TotalAdmLocal)*CRONO!$F67,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SUMIF(CÁLCULO!$AM$15:$AW$44,CRONO!X$12,CÁLCULO!$AB$15:$AL$44)/(ORÇAMENTO!$X$15-CÁLCULO.TotalAdmLocal)*CRONO!$F67,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SUMIF(CÁLCULO!$AM$15:$AW$44,CRONO!Y$12,CÁLCULO!$AB$15:$AL$44)/(ORÇAMENTO!$X$15-CÁLCULO.TotalAdmLocal)*CRONO!$F67,
                        0),
                 Y66*$S65),
          SUMIF(OFFSET($S67,1,0,$R65-2),($M65+1)&amp;"$",OFFSET(Y67,1,0,$R65-2)))</f>
        <v>0</v>
      </c>
      <c r="Z67" s="202" cm="1">
        <f t="array" aca="1" ref="Z67" ca="1">IF($R65=2,
         IF(AND(ACOMPANHAMENTO="PLE",ISNUMBER($F65)),
                SUMIF((OFFSET(CÁLCULO!$AM$15:$AW$15,$F65,0,OFFSET(ORÇAMENTO!$D$15,CRONO!$F65,0))),CRONO!Z$12,OFFSET(CÁLCULO!$AB$15:$AL$15,$F65,0,OFFSET(ORÇAMENTO!$D$15,CRONO!$F65,0)))
                +IF(AND($F67&lt;&gt;"",$F67&lt;&gt;0),
                        SUMIF(CÁLCULO!$AM$15:$AW$44,CRONO!Z$12,CÁLCULO!$AB$15:$AL$44)/(ORÇAMENTO!$X$15-CÁLCULO.TotalAdmLocal)*CRONO!$F67,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SUMIF(CÁLCULO!$AM$15:$AW$44,CRONO!AA$12,CÁLCULO!$AB$15:$AL$44)/(ORÇAMENTO!$X$15-CÁLCULO.TotalAdmLocal)*CRONO!$F67,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SUMIF(CÁLCULO!$AM$15:$AW$44,CRONO!AB$12,CÁLCULO!$AB$15:$AL$44)/(ORÇAMENTO!$X$15-CÁLCULO.TotalAdmLocal)*CRONO!$F67,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SUMIF(CÁLCULO!$AM$15:$AW$44,CRONO!AC$12,CÁLCULO!$AB$15:$AL$44)/(ORÇAMENTO!$X$15-CÁLCULO.TotalAdmLocal)*CRONO!$F67,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SUMIF(CÁLCULO!$AM$15:$AW$44,CRONO!AD$12,CÁLCULO!$AB$15:$AL$44)/(ORÇAMENTO!$X$15-CÁLCULO.TotalAdmLocal)*CRONO!$F67,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SUMIF(CÁLCULO!$AM$15:$AW$44,CRONO!AE$12,CÁLCULO!$AB$15:$AL$44)/(ORÇAMENTO!$X$15-CÁLCULO.TotalAdmLocal)*CRONO!$F67,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SUMIF(CÁLCULO!$AM$15:$AW$44,CRONO!AF$12,CÁLCULO!$AB$15:$AL$44)/(ORÇAMENTO!$X$15-CÁLCULO.TotalAdmLocal)*CRONO!$F67,
                        0),
                 AF66*$S65),
          SUMIF(OFFSET($S67,1,0,$R65-2),($M65+1)&amp;"$",OFFSET(AF67,1,0,$R65-2)))</f>
        <v>0</v>
      </c>
      <c r="AG67" s="534"/>
    </row>
    <row r="68" spans="1:33" x14ac:dyDescent="0.2">
      <c r="A68" s="186" t="str">
        <f t="shared" ref="A68" ca="1" si="110">IF($M68&gt;1,_xlfn.CONCAT($I68," ",$J68),"")</f>
        <v/>
      </c>
      <c r="B68" s="185">
        <f t="shared" ref="B68" ca="1" si="111">OFFSET(B68,-3,0)+1</f>
        <v>19</v>
      </c>
      <c r="C68" s="185">
        <f ca="1">IF($R68&lt;&gt;2,0,IF($S68=0,1,IF(F69&gt;0,OFFSET(QCI!$M$13,SUBSTITUTE(F69,".",""),0),OFFSET(ORÇAMENTO!$AA$15,CRONO!$F68,0))/$S68))</f>
        <v>0</v>
      </c>
      <c r="D68" s="185">
        <f ca="1">IF($R68&lt;&gt;2,0,IF($S68=0,1,IF(F69&gt;0,OFFSET(QCI!$N$13,SUBSTITUTE(F69,".",""),0),OFFSET(ORÇAMENTO!$AB$15,CRONO!$F68,0))/$S68))</f>
        <v>0</v>
      </c>
      <c r="E68" s="188" t="e" cm="1">
        <f t="array" aca="1" ref="E68" ca="1">IF(AND($R68=2,ACOMPANHAMENTO="BM"),ROUND(E69,4),E70/$S68)</f>
        <v>#VALUE!</v>
      </c>
      <c r="F68" s="185" t="e" cm="1">
        <f t="array" aca="1" ref="F68" ca="1">IF(B68&lt;=ORÇAMENTO.MáximoListaCrono,MATCH(B68,ORÇAMENTO.ListaCrono,0),NA())</f>
        <v>#N/A</v>
      </c>
      <c r="G68" s="185" t="str">
        <f t="shared" ref="G68" ca="1" si="112">IF(AND($F69&lt;&gt;-1,$S68&gt;0),"F","")</f>
        <v/>
      </c>
      <c r="H68" s="189" t="str" cm="1">
        <f t="array" aca="1" ref="H68" ca="1">IF(OR(S68=0,S68=""),"Linha",IF(AND(OR(ACOMPANHAMENTO="PLE",$R68&lt;&gt;2),$F69=0),"Linha",ROUND(1-SUM(U68:AG68),4)))</f>
        <v>Linha</v>
      </c>
      <c r="I68" s="190" t="str">
        <f ca="1">IF($F69=0,OFFSET(ORÇAMENTO!O$15,$F68,0),IF($F69&lt;&gt;-1,OFFSET(QCI!$D$13,$F69,0),""))</f>
        <v/>
      </c>
      <c r="J68" s="191" t="str">
        <f ca="1">IF($F69=0,OFFSET(ORÇAMENTO!R$15,$F68,0),IF($F69&lt;&gt;-1,OFFSET(QCI!$G$13,$F69,0),""))</f>
        <v/>
      </c>
      <c r="K68" s="191"/>
      <c r="L68" s="191"/>
      <c r="M68" s="192">
        <f ca="1">IF($F69=0,OFFSET(ORÇAMENTO!C$15,$F68,0),1)</f>
        <v>1</v>
      </c>
      <c r="N68" s="193">
        <f ca="1">IF($F69=-1,0,IF(N$13&lt;=$M68,IF(ISERROR(MATCH(N$13,OFFSET($M68,1,0,ROW($M$164)-ROW($M68)-1),0)),ROW($M$164)-ROW($M68)-1,MATCH(N$13,OFFSET($M68,1,0,ROW($M$164)-ROW($M68)-1),0)-1),0))</f>
        <v>0</v>
      </c>
      <c r="O68" s="193">
        <f ca="1">IF($F69=-1,0,IF(O$13&lt;=$M68,IF(ISERROR(MATCH(O$13,OFFSET($M68,1,0,ROW($M$164)-ROW($M68)-1),0)),ROW($M$164)-ROW($M68)-1,MATCH(O$13,OFFSET($M68,1,0,ROW($M$164)-ROW($M68)-1),0)-1),0))</f>
        <v>0</v>
      </c>
      <c r="P68" s="193">
        <f ca="1">IF($F69=-1,0,IF(P$13&lt;=$M68,IF(ISERROR(MATCH(P$13,OFFSET($M68,1,0,ROW($M$164)-ROW($M68)-1),0)),ROW($M$164)-ROW($M68)-1,MATCH(P$13,OFFSET($M68,1,0,ROW($M$164)-ROW($M68)-1),0)-1),0))</f>
        <v>0</v>
      </c>
      <c r="Q68" s="193">
        <f ca="1">IF($F69=-1,0,IF(Q$13&lt;=$M68,IF(ISERROR(MATCH(Q$13,OFFSET($M68,1,0,ROW($M$164)-ROW($M68)-1),0)),ROW($M$164)-ROW($M68)-1,MATCH(Q$13,OFFSET($M68,1,0,ROW($M$164)-ROW($M68)-1),0)-1),0))</f>
        <v>0</v>
      </c>
      <c r="R68" s="193">
        <f t="shared" ref="R68" ca="1" si="113">MIN(OFFSET(M68,0,1,,M68))</f>
        <v>0</v>
      </c>
      <c r="S68" s="194" t="str">
        <f ca="1">IF($F69=0,OFFSET(ORÇAMENTO!X$15,$F68,0),IF($F69&lt;&gt;-1,OFFSET(QCI!$O$13,$F69,0),""))</f>
        <v/>
      </c>
      <c r="T68" s="195" t="s">
        <v>785</v>
      </c>
      <c r="U68" s="188" t="e" cm="1">
        <f t="array" aca="1" ref="U68" ca="1">IF(AND($R68=2,ACOMPANHAMENTO="BM"),ROUND(U69,4),U70/$S68)</f>
        <v>#VALUE!</v>
      </c>
      <c r="V68" s="188" t="e" cm="1">
        <f t="array" aca="1" ref="V68" ca="1">IF(AND($R68=2,ACOMPANHAMENTO="BM"),ROUND(V69,4),V70/$S68)</f>
        <v>#VALUE!</v>
      </c>
      <c r="W68" s="188" t="e" cm="1">
        <f t="array" aca="1" ref="W68" ca="1">IF(AND($R68=2,ACOMPANHAMENTO="BM"),ROUND(W69,4),W70/$S68)</f>
        <v>#VALUE!</v>
      </c>
      <c r="X68" s="188" t="e" cm="1">
        <f t="array" aca="1" ref="X68" ca="1">IF(AND($R68=2,ACOMPANHAMENTO="BM"),ROUND(X69,4),X70/$S68)</f>
        <v>#VALUE!</v>
      </c>
      <c r="Y68" s="188" t="e" cm="1">
        <f t="array" aca="1" ref="Y68" ca="1">IF(AND($R68=2,ACOMPANHAMENTO="BM"),ROUND(Y69,4),Y70/$S68)</f>
        <v>#VALUE!</v>
      </c>
      <c r="Z68" s="188" t="e" cm="1">
        <f t="array" aca="1" ref="Z68" ca="1">IF(AND($R68=2,ACOMPANHAMENTO="BM"),ROUND(Z69,4),Z70/$S68)</f>
        <v>#VALUE!</v>
      </c>
      <c r="AA68" s="188" t="e" cm="1">
        <f t="array" aca="1" ref="AA68" ca="1">IF(AND($R68=2,ACOMPANHAMENTO="BM"),ROUND(AA69,4),AA70/$S68)</f>
        <v>#VALUE!</v>
      </c>
      <c r="AB68" s="188" t="e" cm="1">
        <f t="array" aca="1" ref="AB68" ca="1">IF(AND($R68=2,ACOMPANHAMENTO="BM"),ROUND(AB69,4),AB70/$S68)</f>
        <v>#VALUE!</v>
      </c>
      <c r="AC68" s="188" t="e" cm="1">
        <f t="array" aca="1" ref="AC68" ca="1">IF(AND($R68=2,ACOMPANHAMENTO="BM"),ROUND(AC69,4),AC70/$S68)</f>
        <v>#VALUE!</v>
      </c>
      <c r="AD68" s="188" t="e" cm="1">
        <f t="array" aca="1" ref="AD68" ca="1">IF(AND($R68=2,ACOMPANHAMENTO="BM"),ROUND(AD69,4),AD70/$S68)</f>
        <v>#VALUE!</v>
      </c>
      <c r="AE68" s="188" t="e" cm="1">
        <f t="array" aca="1" ref="AE68" ca="1">IF(AND($R68=2,ACOMPANHAMENTO="BM"),ROUND(AE69,4),AE70/$S68)</f>
        <v>#VALUE!</v>
      </c>
      <c r="AF68" s="188" t="e" cm="1">
        <f t="array" aca="1" ref="AF68" ca="1">IF(AND($R68=2,ACOMPANHAMENTO="BM"),ROUND(AF69,4),AF70/$S68)</f>
        <v>#VALUE!</v>
      </c>
      <c r="AG68" s="534"/>
    </row>
    <row r="69" spans="1:33" ht="12.75" customHeight="1" x14ac:dyDescent="0.2">
      <c r="E69" s="587"/>
      <c r="F69" s="185">
        <f ca="1">IF(ISERROR(F68),IF(1+COUNTIF($M$13:OFFSET(M68,-1,0),1)&lt;=MAX(QCI!$D$13:$D$24),1+COUNTIF($M$13:OFFSET(M68,-1,0),1),-1),0)</f>
        <v>-1</v>
      </c>
      <c r="G69" s="185" t="str" cm="1">
        <f t="array" aca="1" ref="G69" ca="1">IF(ACOMPANHAMENTO="BM",OFFSET(G69,-1,0),"")</f>
        <v/>
      </c>
      <c r="H69" s="196" t="str" cm="1">
        <f t="array" aca="1" ref="H69" ca="1">IF(OR(S68=0,S68=""),"vazia",IF(AND(OR(ACOMPANHAMENTO="PLE",$R68&lt;&gt;2),$F69=0),"calculada","--&gt;"))</f>
        <v>vazia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1:33" ht="12.75"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SUMIF(CÁLCULO!$AM$15:$AW$44,CRONO!E$12,CÁLCULO!$AB$15:$AL$44)/(ORÇAMENTO!$X$15-CÁLCULO.TotalAdmLocal)*CRONO!$F70,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15">M68&amp;"$"</f>
        <v>1$</v>
      </c>
      <c r="T70" s="205"/>
      <c r="U70" s="202" cm="1">
        <f t="array" aca="1" ref="U70" ca="1">IF($R68=2,
         IF(AND(ACOMPANHAMENTO="PLE",ISNUMBER($F68)),
                SUMIF((OFFSET(CÁLCULO!$AM$15:$AW$15,$F68,0,OFFSET(ORÇAMENTO!$D$15,CRONO!$F68,0))),CRONO!U$12,OFFSET(CÁLCULO!$AB$15:$AL$15,$F68,0,OFFSET(ORÇAMENTO!$D$15,CRONO!$F68,0)))
                +IF(AND($F70&lt;&gt;"",$F70&lt;&gt;0),
                        SUMIF(CÁLCULO!$AM$15:$AW$44,CRONO!U$12,CÁLCULO!$AB$15:$AL$44)/(ORÇAMENTO!$X$15-CÁLCULO.TotalAdmLocal)*CRONO!$F70,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SUMIF(CÁLCULO!$AM$15:$AW$44,CRONO!V$12,CÁLCULO!$AB$15:$AL$44)/(ORÇAMENTO!$X$15-CÁLCULO.TotalAdmLocal)*CRONO!$F70,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SUMIF(CÁLCULO!$AM$15:$AW$44,CRONO!W$12,CÁLCULO!$AB$15:$AL$44)/(ORÇAMENTO!$X$15-CÁLCULO.TotalAdmLocal)*CRONO!$F70,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SUMIF(CÁLCULO!$AM$15:$AW$44,CRONO!X$12,CÁLCULO!$AB$15:$AL$44)/(ORÇAMENTO!$X$15-CÁLCULO.TotalAdmLocal)*CRONO!$F70,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SUMIF(CÁLCULO!$AM$15:$AW$44,CRONO!Y$12,CÁLCULO!$AB$15:$AL$44)/(ORÇAMENTO!$X$15-CÁLCULO.TotalAdmLocal)*CRONO!$F70,
                        0),
                 Y69*$S68),
          SUMIF(OFFSET($S70,1,0,$R68-2),($M68+1)&amp;"$",OFFSET(Y70,1,0,$R68-2)))</f>
        <v>0</v>
      </c>
      <c r="Z70" s="202" cm="1">
        <f t="array" aca="1" ref="Z70" ca="1">IF($R68=2,
         IF(AND(ACOMPANHAMENTO="PLE",ISNUMBER($F68)),
                SUMIF((OFFSET(CÁLCULO!$AM$15:$AW$15,$F68,0,OFFSET(ORÇAMENTO!$D$15,CRONO!$F68,0))),CRONO!Z$12,OFFSET(CÁLCULO!$AB$15:$AL$15,$F68,0,OFFSET(ORÇAMENTO!$D$15,CRONO!$F68,0)))
                +IF(AND($F70&lt;&gt;"",$F70&lt;&gt;0),
                        SUMIF(CÁLCULO!$AM$15:$AW$44,CRONO!Z$12,CÁLCULO!$AB$15:$AL$44)/(ORÇAMENTO!$X$15-CÁLCULO.TotalAdmLocal)*CRONO!$F70,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SUMIF(CÁLCULO!$AM$15:$AW$44,CRONO!AA$12,CÁLCULO!$AB$15:$AL$44)/(ORÇAMENTO!$X$15-CÁLCULO.TotalAdmLocal)*CRONO!$F70,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SUMIF(CÁLCULO!$AM$15:$AW$44,CRONO!AB$12,CÁLCULO!$AB$15:$AL$44)/(ORÇAMENTO!$X$15-CÁLCULO.TotalAdmLocal)*CRONO!$F70,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SUMIF(CÁLCULO!$AM$15:$AW$44,CRONO!AC$12,CÁLCULO!$AB$15:$AL$44)/(ORÇAMENTO!$X$15-CÁLCULO.TotalAdmLocal)*CRONO!$F70,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SUMIF(CÁLCULO!$AM$15:$AW$44,CRONO!AD$12,CÁLCULO!$AB$15:$AL$44)/(ORÇAMENTO!$X$15-CÁLCULO.TotalAdmLocal)*CRONO!$F70,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SUMIF(CÁLCULO!$AM$15:$AW$44,CRONO!AE$12,CÁLCULO!$AB$15:$AL$44)/(ORÇAMENTO!$X$15-CÁLCULO.TotalAdmLocal)*CRONO!$F70,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SUMIF(CÁLCULO!$AM$15:$AW$44,CRONO!AF$12,CÁLCULO!$AB$15:$AL$44)/(ORÇAMENTO!$X$15-CÁLCULO.TotalAdmLocal)*CRONO!$F70,
                        0),
                 AF69*$S68),
          SUMIF(OFFSET($S70,1,0,$R68-2),($M68+1)&amp;"$",OFFSET(AF70,1,0,$R68-2)))</f>
        <v>0</v>
      </c>
      <c r="AG70" s="534"/>
    </row>
    <row r="71" spans="1:33" x14ac:dyDescent="0.2">
      <c r="A71" s="186" t="str">
        <f t="shared" ref="A71" ca="1" si="116">IF($M71&gt;1,_xlfn.CONCAT($I71," ",$J71),"")</f>
        <v/>
      </c>
      <c r="B71" s="185">
        <f t="shared" ref="B71" ca="1" si="117">OFFSET(B71,-3,0)+1</f>
        <v>20</v>
      </c>
      <c r="C71" s="185">
        <f ca="1">IF($R71&lt;&gt;2,0,IF($S71=0,1,IF(F72&gt;0,OFFSET(QCI!$M$13,SUBSTITUTE(F72,".",""),0),OFFSET(ORÇAMENTO!$AA$15,CRONO!$F71,0))/$S71))</f>
        <v>0</v>
      </c>
      <c r="D71" s="185">
        <f ca="1">IF($R71&lt;&gt;2,0,IF($S71=0,1,IF(F72&gt;0,OFFSET(QCI!$N$13,SUBSTITUTE(F72,".",""),0),OFFSET(ORÇAMENTO!$AB$15,CRONO!$F71,0))/$S71))</f>
        <v>0</v>
      </c>
      <c r="E71" s="188" t="e" cm="1">
        <f t="array" aca="1" ref="E71" ca="1">IF(AND($R71=2,ACOMPANHAMENTO="BM"),ROUND(E72,4),E73/$S71)</f>
        <v>#VALUE!</v>
      </c>
      <c r="F71" s="185" t="e" cm="1">
        <f t="array" aca="1" ref="F71" ca="1">IF(B71&lt;=ORÇAMENTO.MáximoListaCrono,MATCH(B71,ORÇAMENTO.ListaCrono,0),NA())</f>
        <v>#N/A</v>
      </c>
      <c r="G71" s="185" t="str">
        <f t="shared" ref="G71" ca="1" si="118">IF(AND($F72&lt;&gt;-1,$S71&gt;0),"F","")</f>
        <v/>
      </c>
      <c r="H71" s="189" t="str" cm="1">
        <f t="array" aca="1" ref="H71" ca="1">IF(OR(S71=0,S71=""),"Linha",IF(AND(OR(ACOMPANHAMENTO="PLE",$R71&lt;&gt;2),$F72=0),"Linha",ROUND(1-SUM(U71:AG71),4)))</f>
        <v>Linha</v>
      </c>
      <c r="I71" s="190" t="str">
        <f ca="1">IF($F72=0,OFFSET(ORÇAMENTO!O$15,$F71,0),IF($F72&lt;&gt;-1,OFFSET(QCI!$D$13,$F72,0),""))</f>
        <v/>
      </c>
      <c r="J71" s="191" t="str">
        <f ca="1">IF($F72=0,OFFSET(ORÇAMENTO!R$15,$F71,0),IF($F72&lt;&gt;-1,OFFSET(QCI!$G$13,$F72,0),""))</f>
        <v/>
      </c>
      <c r="K71" s="191"/>
      <c r="L71" s="191"/>
      <c r="M71" s="192">
        <f ca="1">IF($F72=0,OFFSET(ORÇAMENTO!C$15,$F71,0),1)</f>
        <v>1</v>
      </c>
      <c r="N71" s="193">
        <f ca="1">IF($F72=-1,0,IF(N$13&lt;=$M71,IF(ISERROR(MATCH(N$13,OFFSET($M71,1,0,ROW($M$164)-ROW($M71)-1),0)),ROW($M$164)-ROW($M71)-1,MATCH(N$13,OFFSET($M71,1,0,ROW($M$164)-ROW($M71)-1),0)-1),0))</f>
        <v>0</v>
      </c>
      <c r="O71" s="193">
        <f ca="1">IF($F72=-1,0,IF(O$13&lt;=$M71,IF(ISERROR(MATCH(O$13,OFFSET($M71,1,0,ROW($M$164)-ROW($M71)-1),0)),ROW($M$164)-ROW($M71)-1,MATCH(O$13,OFFSET($M71,1,0,ROW($M$164)-ROW($M71)-1),0)-1),0))</f>
        <v>0</v>
      </c>
      <c r="P71" s="193">
        <f ca="1">IF($F72=-1,0,IF(P$13&lt;=$M71,IF(ISERROR(MATCH(P$13,OFFSET($M71,1,0,ROW($M$164)-ROW($M71)-1),0)),ROW($M$164)-ROW($M71)-1,MATCH(P$13,OFFSET($M71,1,0,ROW($M$164)-ROW($M71)-1),0)-1),0))</f>
        <v>0</v>
      </c>
      <c r="Q71" s="193">
        <f ca="1">IF($F72=-1,0,IF(Q$13&lt;=$M71,IF(ISERROR(MATCH(Q$13,OFFSET($M71,1,0,ROW($M$164)-ROW($M71)-1),0)),ROW($M$164)-ROW($M71)-1,MATCH(Q$13,OFFSET($M71,1,0,ROW($M$164)-ROW($M71)-1),0)-1),0))</f>
        <v>0</v>
      </c>
      <c r="R71" s="193">
        <f t="shared" ref="R71" ca="1" si="119">MIN(OFFSET(M71,0,1,,M71))</f>
        <v>0</v>
      </c>
      <c r="S71" s="194" t="str">
        <f ca="1">IF($F72=0,OFFSET(ORÇAMENTO!X$15,$F71,0),IF($F72&lt;&gt;-1,OFFSET(QCI!$O$13,$F72,0),""))</f>
        <v/>
      </c>
      <c r="T71" s="195" t="s">
        <v>785</v>
      </c>
      <c r="U71" s="188" t="e" cm="1">
        <f t="array" aca="1" ref="U71" ca="1">IF(AND($R71=2,ACOMPANHAMENTO="BM"),ROUND(U72,4),U73/$S71)</f>
        <v>#VALUE!</v>
      </c>
      <c r="V71" s="188" t="e" cm="1">
        <f t="array" aca="1" ref="V71" ca="1">IF(AND($R71=2,ACOMPANHAMENTO="BM"),ROUND(V72,4),V73/$S71)</f>
        <v>#VALUE!</v>
      </c>
      <c r="W71" s="188" t="e" cm="1">
        <f t="array" aca="1" ref="W71" ca="1">IF(AND($R71=2,ACOMPANHAMENTO="BM"),ROUND(W72,4),W73/$S71)</f>
        <v>#VALUE!</v>
      </c>
      <c r="X71" s="188" t="e" cm="1">
        <f t="array" aca="1" ref="X71" ca="1">IF(AND($R71=2,ACOMPANHAMENTO="BM"),ROUND(X72,4),X73/$S71)</f>
        <v>#VALUE!</v>
      </c>
      <c r="Y71" s="188" t="e" cm="1">
        <f t="array" aca="1" ref="Y71" ca="1">IF(AND($R71=2,ACOMPANHAMENTO="BM"),ROUND(Y72,4),Y73/$S71)</f>
        <v>#VALUE!</v>
      </c>
      <c r="Z71" s="188" t="e" cm="1">
        <f t="array" aca="1" ref="Z71" ca="1">IF(AND($R71=2,ACOMPANHAMENTO="BM"),ROUND(Z72,4),Z73/$S71)</f>
        <v>#VALUE!</v>
      </c>
      <c r="AA71" s="188" t="e" cm="1">
        <f t="array" aca="1" ref="AA71" ca="1">IF(AND($R71=2,ACOMPANHAMENTO="BM"),ROUND(AA72,4),AA73/$S71)</f>
        <v>#VALUE!</v>
      </c>
      <c r="AB71" s="188" t="e" cm="1">
        <f t="array" aca="1" ref="AB71" ca="1">IF(AND($R71=2,ACOMPANHAMENTO="BM"),ROUND(AB72,4),AB73/$S71)</f>
        <v>#VALUE!</v>
      </c>
      <c r="AC71" s="188" t="e" cm="1">
        <f t="array" aca="1" ref="AC71" ca="1">IF(AND($R71=2,ACOMPANHAMENTO="BM"),ROUND(AC72,4),AC73/$S71)</f>
        <v>#VALUE!</v>
      </c>
      <c r="AD71" s="188" t="e" cm="1">
        <f t="array" aca="1" ref="AD71" ca="1">IF(AND($R71=2,ACOMPANHAMENTO="BM"),ROUND(AD72,4),AD73/$S71)</f>
        <v>#VALUE!</v>
      </c>
      <c r="AE71" s="188" t="e" cm="1">
        <f t="array" aca="1" ref="AE71" ca="1">IF(AND($R71=2,ACOMPANHAMENTO="BM"),ROUND(AE72,4),AE73/$S71)</f>
        <v>#VALUE!</v>
      </c>
      <c r="AF71" s="188" t="e" cm="1">
        <f t="array" aca="1" ref="AF71" ca="1">IF(AND($R71=2,ACOMPANHAMENTO="BM"),ROUND(AF72,4),AF73/$S71)</f>
        <v>#VALUE!</v>
      </c>
      <c r="AG71" s="534"/>
    </row>
    <row r="72" spans="1:33" ht="12.75" customHeight="1" x14ac:dyDescent="0.2">
      <c r="E72" s="587"/>
      <c r="F72" s="185">
        <f ca="1">IF(ISERROR(F71),IF(1+COUNTIF($M$13:OFFSET(M71,-1,0),1)&lt;=MAX(QCI!$D$13:$D$24),1+COUNTIF($M$13:OFFSET(M71,-1,0),1),-1),0)</f>
        <v>-1</v>
      </c>
      <c r="G72" s="185" t="str" cm="1">
        <f t="array" aca="1" ref="G72" ca="1">IF(ACOMPANHAMENTO="BM",OFFSET(G72,-1,0),"")</f>
        <v/>
      </c>
      <c r="H72" s="196" t="str" cm="1">
        <f t="array" aca="1" ref="H72" ca="1">IF(OR(S71=0,S71=""),"vazia",IF(AND(OR(ACOMPANHAMENTO="PLE",$R71&lt;&gt;2),$F72=0),"calculada","--&gt;"))</f>
        <v>vazia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customHeight="1" x14ac:dyDescent="0.2">
      <c r="D73" s="533"/>
      <c r="E73" s="202" cm="1">
        <f t="array" aca="1" ref="E73" ca="1">IF($R71=2,
         IF(AND(ACOMPANHAMENTO="PLE",ISNUMBER($F71)),
                SUMIF((OFFSET(CÁLCULO!$AM$15:$AW$15,$F71,0,OFFSET(ORÇAMENTO!$D$15,CRONO!$F71,0))),CRONO!E$12,OFFSET(CÁLCULO!$AB$15:$AL$15,$F71,0,OFFSET(ORÇAMENTO!$D$15,CRONO!$F71,0)))
                +IF(AND($F73&lt;&gt;"",$F73&lt;&gt;0),
                        SUMIF(CÁLCULO!$AM$15:$AW$44,CRONO!E$12,CÁLCULO!$AB$15:$AL$44)/(ORÇAMENTO!$X$15-CÁLCULO.TotalAdmLocal)*CRONO!$F73,
                        0),
                 E72*$S71),
          SUMIF(OFFSET($S73,1,0,$R71-2),($M71+1)&amp;"$",OFFSET(E73,1,0,$R71-2)))</f>
        <v>0</v>
      </c>
      <c r="F73" s="185" t="str">
        <f ca="1">IF(OR($R71&lt;&gt;2,AUTOEVENTO&lt;&gt;"manual",$F72&gt;0),"",
        IF(Import.TipoArredondamento="Tradicional",
              SUMIF(OFFSET(CÁLCULO!$M$15,CRONO!$F71,0,OFFSET(ORÇAMENTO!$D$15,CRONO!$F71,0)),1,OFFSET(ORÇAMENTO!$X$15,CRONO!$F71,0,OFFSET(ORÇAMENTO!$D$15,CRONO!$F71,0))),
              0))</f>
        <v/>
      </c>
      <c r="H73" s="203"/>
      <c r="S73" s="204" t="str">
        <f t="shared" ref="S73" ca="1" si="121">M71&amp;"$"</f>
        <v>1$</v>
      </c>
      <c r="T73" s="205"/>
      <c r="U73" s="202" cm="1">
        <f t="array" aca="1" ref="U73" ca="1">IF($R71=2,
         IF(AND(ACOMPANHAMENTO="PLE",ISNUMBER($F71)),
                SUMIF((OFFSET(CÁLCULO!$AM$15:$AW$15,$F71,0,OFFSET(ORÇAMENTO!$D$15,CRONO!$F71,0))),CRONO!U$12,OFFSET(CÁLCULO!$AB$15:$AL$15,$F71,0,OFFSET(ORÇAMENTO!$D$15,CRONO!$F71,0)))
                +IF(AND($F73&lt;&gt;"",$F73&lt;&gt;0),
                        SUMIF(CÁLCULO!$AM$15:$AW$44,CRONO!U$12,CÁLCULO!$AB$15:$AL$44)/(ORÇAMENTO!$X$15-CÁLCULO.TotalAdmLocal)*CRONO!$F73,
                        0),
                 U72*$S71),
          SUMIF(OFFSET($S73,1,0,$R71-2),($M71+1)&amp;"$",OFFSET(U73,1,0,$R71-2)))</f>
        <v>0</v>
      </c>
      <c r="V73" s="202" cm="1">
        <f t="array" aca="1" ref="V73" ca="1">IF($R71=2,
         IF(AND(ACOMPANHAMENTO="PLE",ISNUMBER($F71)),
                SUMIF((OFFSET(CÁLCULO!$AM$15:$AW$15,$F71,0,OFFSET(ORÇAMENTO!$D$15,CRONO!$F71,0))),CRONO!V$12,OFFSET(CÁLCULO!$AB$15:$AL$15,$F71,0,OFFSET(ORÇAMENTO!$D$15,CRONO!$F71,0)))
                +IF(AND($F73&lt;&gt;"",$F73&lt;&gt;0),
                        SUMIF(CÁLCULO!$AM$15:$AW$44,CRONO!V$12,CÁLCULO!$AB$15:$AL$44)/(ORÇAMENTO!$X$15-CÁLCULO.TotalAdmLocal)*CRONO!$F73,
                        0),
                 V72*$S71),
          SUMIF(OFFSET($S73,1,0,$R71-2),($M71+1)&amp;"$",OFFSET(V73,1,0,$R71-2)))</f>
        <v>0</v>
      </c>
      <c r="W73" s="202" cm="1">
        <f t="array" aca="1" ref="W73" ca="1">IF($R71=2,
         IF(AND(ACOMPANHAMENTO="PLE",ISNUMBER($F71)),
                SUMIF((OFFSET(CÁLCULO!$AM$15:$AW$15,$F71,0,OFFSET(ORÇAMENTO!$D$15,CRONO!$F71,0))),CRONO!W$12,OFFSET(CÁLCULO!$AB$15:$AL$15,$F71,0,OFFSET(ORÇAMENTO!$D$15,CRONO!$F71,0)))
                +IF(AND($F73&lt;&gt;"",$F73&lt;&gt;0),
                        SUMIF(CÁLCULO!$AM$15:$AW$44,CRONO!W$12,CÁLCULO!$AB$15:$AL$44)/(ORÇAMENTO!$X$15-CÁLCULO.TotalAdmLocal)*CRONO!$F73,
                        0),
                 W72*$S71),
          SUMIF(OFFSET($S73,1,0,$R71-2),($M71+1)&amp;"$",OFFSET(W73,1,0,$R71-2)))</f>
        <v>0</v>
      </c>
      <c r="X73" s="202" cm="1">
        <f t="array" aca="1" ref="X73" ca="1">IF($R71=2,
         IF(AND(ACOMPANHAMENTO="PLE",ISNUMBER($F71)),
                SUMIF((OFFSET(CÁLCULO!$AM$15:$AW$15,$F71,0,OFFSET(ORÇAMENTO!$D$15,CRONO!$F71,0))),CRONO!X$12,OFFSET(CÁLCULO!$AB$15:$AL$15,$F71,0,OFFSET(ORÇAMENTO!$D$15,CRONO!$F71,0)))
                +IF(AND($F73&lt;&gt;"",$F73&lt;&gt;0),
                        SUMIF(CÁLCULO!$AM$15:$AW$44,CRONO!X$12,CÁLCULO!$AB$15:$AL$44)/(ORÇAMENTO!$X$15-CÁLCULO.TotalAdmLocal)*CRONO!$F73,
                        0),
                 X72*$S71),
          SUMIF(OFFSET($S73,1,0,$R71-2),($M71+1)&amp;"$",OFFSET(X73,1,0,$R71-2)))</f>
        <v>0</v>
      </c>
      <c r="Y73" s="202" cm="1">
        <f t="array" aca="1" ref="Y73" ca="1">IF($R71=2,
         IF(AND(ACOMPANHAMENTO="PLE",ISNUMBER($F71)),
                SUMIF((OFFSET(CÁLCULO!$AM$15:$AW$15,$F71,0,OFFSET(ORÇAMENTO!$D$15,CRONO!$F71,0))),CRONO!Y$12,OFFSET(CÁLCULO!$AB$15:$AL$15,$F71,0,OFFSET(ORÇAMENTO!$D$15,CRONO!$F71,0)))
                +IF(AND($F73&lt;&gt;"",$F73&lt;&gt;0),
                        SUMIF(CÁLCULO!$AM$15:$AW$44,CRONO!Y$12,CÁLCULO!$AB$15:$AL$44)/(ORÇAMENTO!$X$15-CÁLCULO.TotalAdmLocal)*CRONO!$F73,
                        0),
                 Y72*$S71),
          SUMIF(OFFSET($S73,1,0,$R71-2),($M71+1)&amp;"$",OFFSET(Y73,1,0,$R71-2)))</f>
        <v>0</v>
      </c>
      <c r="Z73" s="202" cm="1">
        <f t="array" aca="1" ref="Z73" ca="1">IF($R71=2,
         IF(AND(ACOMPANHAMENTO="PLE",ISNUMBER($F71)),
                SUMIF((OFFSET(CÁLCULO!$AM$15:$AW$15,$F71,0,OFFSET(ORÇAMENTO!$D$15,CRONO!$F71,0))),CRONO!Z$12,OFFSET(CÁLCULO!$AB$15:$AL$15,$F71,0,OFFSET(ORÇAMENTO!$D$15,CRONO!$F71,0)))
                +IF(AND($F73&lt;&gt;"",$F73&lt;&gt;0),
                        SUMIF(CÁLCULO!$AM$15:$AW$44,CRONO!Z$12,CÁLCULO!$AB$15:$AL$44)/(ORÇAMENTO!$X$15-CÁLCULO.TotalAdmLocal)*CRONO!$F73,
                        0),
                 Z72*$S71),
          SUMIF(OFFSET($S73,1,0,$R71-2),($M71+1)&amp;"$",OFFSET(Z73,1,0,$R71-2)))</f>
        <v>0</v>
      </c>
      <c r="AA73" s="202" cm="1">
        <f t="array" aca="1" ref="AA73" ca="1">IF($R71=2,
         IF(AND(ACOMPANHAMENTO="PLE",ISNUMBER($F71)),
                SUMIF((OFFSET(CÁLCULO!$AM$15:$AW$15,$F71,0,OFFSET(ORÇAMENTO!$D$15,CRONO!$F71,0))),CRONO!AA$12,OFFSET(CÁLCULO!$AB$15:$AL$15,$F71,0,OFFSET(ORÇAMENTO!$D$15,CRONO!$F71,0)))
                +IF(AND($F73&lt;&gt;"",$F73&lt;&gt;0),
                        SUMIF(CÁLCULO!$AM$15:$AW$44,CRONO!AA$12,CÁLCULO!$AB$15:$AL$44)/(ORÇAMENTO!$X$15-CÁLCULO.TotalAdmLocal)*CRONO!$F73,
                        0),
                 AA72*$S71),
          SUMIF(OFFSET($S73,1,0,$R71-2),($M71+1)&amp;"$",OFFSET(AA73,1,0,$R71-2)))</f>
        <v>0</v>
      </c>
      <c r="AB73" s="202" cm="1">
        <f t="array" aca="1" ref="AB73" ca="1">IF($R71=2,
         IF(AND(ACOMPANHAMENTO="PLE",ISNUMBER($F71)),
                SUMIF((OFFSET(CÁLCULO!$AM$15:$AW$15,$F71,0,OFFSET(ORÇAMENTO!$D$15,CRONO!$F71,0))),CRONO!AB$12,OFFSET(CÁLCULO!$AB$15:$AL$15,$F71,0,OFFSET(ORÇAMENTO!$D$15,CRONO!$F71,0)))
                +IF(AND($F73&lt;&gt;"",$F73&lt;&gt;0),
                        SUMIF(CÁLCULO!$AM$15:$AW$44,CRONO!AB$12,CÁLCULO!$AB$15:$AL$44)/(ORÇAMENTO!$X$15-CÁLCULO.TotalAdmLocal)*CRONO!$F73,
                        0),
                 AB72*$S71),
          SUMIF(OFFSET($S73,1,0,$R71-2),($M71+1)&amp;"$",OFFSET(AB73,1,0,$R71-2)))</f>
        <v>0</v>
      </c>
      <c r="AC73" s="202" cm="1">
        <f t="array" aca="1" ref="AC73" ca="1">IF($R71=2,
         IF(AND(ACOMPANHAMENTO="PLE",ISNUMBER($F71)),
                SUMIF((OFFSET(CÁLCULO!$AM$15:$AW$15,$F71,0,OFFSET(ORÇAMENTO!$D$15,CRONO!$F71,0))),CRONO!AC$12,OFFSET(CÁLCULO!$AB$15:$AL$15,$F71,0,OFFSET(ORÇAMENTO!$D$15,CRONO!$F71,0)))
                +IF(AND($F73&lt;&gt;"",$F73&lt;&gt;0),
                        SUMIF(CÁLCULO!$AM$15:$AW$44,CRONO!AC$12,CÁLCULO!$AB$15:$AL$44)/(ORÇAMENTO!$X$15-CÁLCULO.TotalAdmLocal)*CRONO!$F73,
                        0),
                 AC72*$S71),
          SUMIF(OFFSET($S73,1,0,$R71-2),($M71+1)&amp;"$",OFFSET(AC73,1,0,$R71-2)))</f>
        <v>0</v>
      </c>
      <c r="AD73" s="202" cm="1">
        <f t="array" aca="1" ref="AD73" ca="1">IF($R71=2,
         IF(AND(ACOMPANHAMENTO="PLE",ISNUMBER($F71)),
                SUMIF((OFFSET(CÁLCULO!$AM$15:$AW$15,$F71,0,OFFSET(ORÇAMENTO!$D$15,CRONO!$F71,0))),CRONO!AD$12,OFFSET(CÁLCULO!$AB$15:$AL$15,$F71,0,OFFSET(ORÇAMENTO!$D$15,CRONO!$F71,0)))
                +IF(AND($F73&lt;&gt;"",$F73&lt;&gt;0),
                        SUMIF(CÁLCULO!$AM$15:$AW$44,CRONO!AD$12,CÁLCULO!$AB$15:$AL$44)/(ORÇAMENTO!$X$15-CÁLCULO.TotalAdmLocal)*CRONO!$F73,
                        0),
                 AD72*$S71),
          SUMIF(OFFSET($S73,1,0,$R71-2),($M71+1)&amp;"$",OFFSET(AD73,1,0,$R71-2)))</f>
        <v>0</v>
      </c>
      <c r="AE73" s="202" cm="1">
        <f t="array" aca="1" ref="AE73" ca="1">IF($R71=2,
         IF(AND(ACOMPANHAMENTO="PLE",ISNUMBER($F71)),
                SUMIF((OFFSET(CÁLCULO!$AM$15:$AW$15,$F71,0,OFFSET(ORÇAMENTO!$D$15,CRONO!$F71,0))),CRONO!AE$12,OFFSET(CÁLCULO!$AB$15:$AL$15,$F71,0,OFFSET(ORÇAMENTO!$D$15,CRONO!$F71,0)))
                +IF(AND($F73&lt;&gt;"",$F73&lt;&gt;0),
                        SUMIF(CÁLCULO!$AM$15:$AW$44,CRONO!AE$12,CÁLCULO!$AB$15:$AL$44)/(ORÇAMENTO!$X$15-CÁLCULO.TotalAdmLocal)*CRONO!$F73,
                        0),
                 AE72*$S71),
          SUMIF(OFFSET($S73,1,0,$R71-2),($M71+1)&amp;"$",OFFSET(AE73,1,0,$R71-2)))</f>
        <v>0</v>
      </c>
      <c r="AF73" s="202" cm="1">
        <f t="array" aca="1" ref="AF73" ca="1">IF($R71=2,
         IF(AND(ACOMPANHAMENTO="PLE",ISNUMBER($F71)),
                SUMIF((OFFSET(CÁLCULO!$AM$15:$AW$15,$F71,0,OFFSET(ORÇAMENTO!$D$15,CRONO!$F71,0))),CRONO!AF$12,OFFSET(CÁLCULO!$AB$15:$AL$15,$F71,0,OFFSET(ORÇAMENTO!$D$15,CRONO!$F71,0)))
                +IF(AND($F73&lt;&gt;"",$F73&lt;&gt;0),
                        SUMIF(CÁLCULO!$AM$15:$AW$44,CRONO!AF$12,CÁLCULO!$AB$15:$AL$44)/(ORÇAMENTO!$X$15-CÁLCULO.TotalAdmLocal)*CRONO!$F73,
                        0),
                 AF72*$S71),
          SUMIF(OFFSET($S73,1,0,$R71-2),($M71+1)&amp;"$",OFFSET(AF73,1,0,$R71-2)))</f>
        <v>0</v>
      </c>
      <c r="AG73" s="534"/>
    </row>
    <row r="74" spans="1:33" x14ac:dyDescent="0.2">
      <c r="A74" s="186" t="str">
        <f t="shared" ref="A74" ca="1" si="122">IF($M74&gt;1,_xlfn.CONCAT($I74," ",$J74),"")</f>
        <v/>
      </c>
      <c r="B74" s="185">
        <f t="shared" ref="B74" ca="1" si="123">OFFSET(B74,-3,0)+1</f>
        <v>21</v>
      </c>
      <c r="C74" s="185">
        <f ca="1">IF($R74&lt;&gt;2,0,IF($S74=0,1,IF(F75&gt;0,OFFSET(QCI!$M$13,SUBSTITUTE(F75,".",""),0),OFFSET(ORÇAMENTO!$AA$15,CRONO!$F74,0))/$S74))</f>
        <v>0</v>
      </c>
      <c r="D74" s="185">
        <f ca="1">IF($R74&lt;&gt;2,0,IF($S74=0,1,IF(F75&gt;0,OFFSET(QCI!$N$13,SUBSTITUTE(F75,".",""),0),OFFSET(ORÇAMENTO!$AB$15,CRONO!$F74,0))/$S74))</f>
        <v>0</v>
      </c>
      <c r="E74" s="188" t="e" cm="1">
        <f t="array" aca="1" ref="E74" ca="1">IF(AND($R74=2,ACOMPANHAMENTO="BM"),ROUND(E75,4),E76/$S74)</f>
        <v>#VALUE!</v>
      </c>
      <c r="F74" s="185" t="e" cm="1">
        <f t="array" aca="1" ref="F74" ca="1">IF(B74&lt;=ORÇAMENTO.MáximoListaCrono,MATCH(B74,ORÇAMENTO.ListaCrono,0),NA())</f>
        <v>#N/A</v>
      </c>
      <c r="G74" s="185" t="str">
        <f t="shared" ref="G74" ca="1" si="124">IF(AND($F75&lt;&gt;-1,$S74&gt;0),"F","")</f>
        <v/>
      </c>
      <c r="H74" s="189" t="str" cm="1">
        <f t="array" aca="1" ref="H74" ca="1">IF(OR(S74=0,S74=""),"Linha",IF(AND(OR(ACOMPANHAMENTO="PLE",$R74&lt;&gt;2),$F75=0),"Linha",ROUND(1-SUM(U74:AG74),4)))</f>
        <v>Linha</v>
      </c>
      <c r="I74" s="190" t="str">
        <f ca="1">IF($F75=0,OFFSET(ORÇAMENTO!O$15,$F74,0),IF($F75&lt;&gt;-1,OFFSET(QCI!$D$13,$F75,0),""))</f>
        <v/>
      </c>
      <c r="J74" s="191" t="str">
        <f ca="1">IF($F75=0,OFFSET(ORÇAMENTO!R$15,$F74,0),IF($F75&lt;&gt;-1,OFFSET(QCI!$G$13,$F75,0),""))</f>
        <v/>
      </c>
      <c r="K74" s="191"/>
      <c r="L74" s="191"/>
      <c r="M74" s="192">
        <f ca="1">IF($F75=0,OFFSET(ORÇAMENTO!C$15,$F74,0),1)</f>
        <v>1</v>
      </c>
      <c r="N74" s="193">
        <f ca="1">IF($F75=-1,0,IF(N$13&lt;=$M74,IF(ISERROR(MATCH(N$13,OFFSET($M74,1,0,ROW($M$164)-ROW($M74)-1),0)),ROW($M$164)-ROW($M74)-1,MATCH(N$13,OFFSET($M74,1,0,ROW($M$164)-ROW($M74)-1),0)-1),0))</f>
        <v>0</v>
      </c>
      <c r="O74" s="193">
        <f ca="1">IF($F75=-1,0,IF(O$13&lt;=$M74,IF(ISERROR(MATCH(O$13,OFFSET($M74,1,0,ROW($M$164)-ROW($M74)-1),0)),ROW($M$164)-ROW($M74)-1,MATCH(O$13,OFFSET($M74,1,0,ROW($M$164)-ROW($M74)-1),0)-1),0))</f>
        <v>0</v>
      </c>
      <c r="P74" s="193">
        <f ca="1">IF($F75=-1,0,IF(P$13&lt;=$M74,IF(ISERROR(MATCH(P$13,OFFSET($M74,1,0,ROW($M$164)-ROW($M74)-1),0)),ROW($M$164)-ROW($M74)-1,MATCH(P$13,OFFSET($M74,1,0,ROW($M$164)-ROW($M74)-1),0)-1),0))</f>
        <v>0</v>
      </c>
      <c r="Q74" s="193">
        <f ca="1">IF($F75=-1,0,IF(Q$13&lt;=$M74,IF(ISERROR(MATCH(Q$13,OFFSET($M74,1,0,ROW($M$164)-ROW($M74)-1),0)),ROW($M$164)-ROW($M74)-1,MATCH(Q$13,OFFSET($M74,1,0,ROW($M$164)-ROW($M74)-1),0)-1),0))</f>
        <v>0</v>
      </c>
      <c r="R74" s="193">
        <f t="shared" ref="R74" ca="1" si="125">MIN(OFFSET(M74,0,1,,M74))</f>
        <v>0</v>
      </c>
      <c r="S74" s="194" t="str">
        <f ca="1">IF($F75=0,OFFSET(ORÇAMENTO!X$15,$F74,0),IF($F75&lt;&gt;-1,OFFSET(QCI!$O$13,$F75,0),""))</f>
        <v/>
      </c>
      <c r="T74" s="195" t="s">
        <v>785</v>
      </c>
      <c r="U74" s="188" t="e" cm="1">
        <f t="array" aca="1" ref="U74" ca="1">IF(AND($R74=2,ACOMPANHAMENTO="BM"),ROUND(U75,4),U76/$S74)</f>
        <v>#VALUE!</v>
      </c>
      <c r="V74" s="188" t="e" cm="1">
        <f t="array" aca="1" ref="V74" ca="1">IF(AND($R74=2,ACOMPANHAMENTO="BM"),ROUND(V75,4),V76/$S74)</f>
        <v>#VALUE!</v>
      </c>
      <c r="W74" s="188" t="e" cm="1">
        <f t="array" aca="1" ref="W74" ca="1">IF(AND($R74=2,ACOMPANHAMENTO="BM"),ROUND(W75,4),W76/$S74)</f>
        <v>#VALUE!</v>
      </c>
      <c r="X74" s="188" t="e" cm="1">
        <f t="array" aca="1" ref="X74" ca="1">IF(AND($R74=2,ACOMPANHAMENTO="BM"),ROUND(X75,4),X76/$S74)</f>
        <v>#VALUE!</v>
      </c>
      <c r="Y74" s="188" t="e" cm="1">
        <f t="array" aca="1" ref="Y74" ca="1">IF(AND($R74=2,ACOMPANHAMENTO="BM"),ROUND(Y75,4),Y76/$S74)</f>
        <v>#VALUE!</v>
      </c>
      <c r="Z74" s="188" t="e" cm="1">
        <f t="array" aca="1" ref="Z74" ca="1">IF(AND($R74=2,ACOMPANHAMENTO="BM"),ROUND(Z75,4),Z76/$S74)</f>
        <v>#VALUE!</v>
      </c>
      <c r="AA74" s="188" t="e" cm="1">
        <f t="array" aca="1" ref="AA74" ca="1">IF(AND($R74=2,ACOMPANHAMENTO="BM"),ROUND(AA75,4),AA76/$S74)</f>
        <v>#VALUE!</v>
      </c>
      <c r="AB74" s="188" t="e" cm="1">
        <f t="array" aca="1" ref="AB74" ca="1">IF(AND($R74=2,ACOMPANHAMENTO="BM"),ROUND(AB75,4),AB76/$S74)</f>
        <v>#VALUE!</v>
      </c>
      <c r="AC74" s="188" t="e" cm="1">
        <f t="array" aca="1" ref="AC74" ca="1">IF(AND($R74=2,ACOMPANHAMENTO="BM"),ROUND(AC75,4),AC76/$S74)</f>
        <v>#VALUE!</v>
      </c>
      <c r="AD74" s="188" t="e" cm="1">
        <f t="array" aca="1" ref="AD74" ca="1">IF(AND($R74=2,ACOMPANHAMENTO="BM"),ROUND(AD75,4),AD76/$S74)</f>
        <v>#VALUE!</v>
      </c>
      <c r="AE74" s="188" t="e" cm="1">
        <f t="array" aca="1" ref="AE74" ca="1">IF(AND($R74=2,ACOMPANHAMENTO="BM"),ROUND(AE75,4),AE76/$S74)</f>
        <v>#VALUE!</v>
      </c>
      <c r="AF74" s="188" t="e" cm="1">
        <f t="array" aca="1" ref="AF74" ca="1">IF(AND($R74=2,ACOMPANHAMENTO="BM"),ROUND(AF75,4),AF76/$S74)</f>
        <v>#VALUE!</v>
      </c>
      <c r="AG74" s="534"/>
    </row>
    <row r="75" spans="1:33" ht="12.75" customHeight="1" x14ac:dyDescent="0.2">
      <c r="E75" s="587"/>
      <c r="F75" s="185">
        <f ca="1">IF(ISERROR(F74),IF(1+COUNTIF($M$13:OFFSET(M74,-1,0),1)&lt;=MAX(QCI!$D$13:$D$24),1+COUNTIF($M$13:OFFSET(M74,-1,0),1),-1),0)</f>
        <v>-1</v>
      </c>
      <c r="G75" s="185" t="str" cm="1">
        <f t="array" aca="1" ref="G75" ca="1">IF(ACOMPANHAMENTO="BM",OFFSET(G75,-1,0),"")</f>
        <v/>
      </c>
      <c r="H75" s="196" t="str" cm="1">
        <f t="array" aca="1" ref="H75" ca="1">IF(OR(S74=0,S74=""),"vazia",IF(AND(OR(ACOMPANHAMENTO="PLE",$R74&lt;&gt;2),$F75=0),"calculada","--&gt;"))</f>
        <v>vazia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customHeight="1" x14ac:dyDescent="0.2">
      <c r="D76" s="533"/>
      <c r="E76" s="202" cm="1">
        <f t="array" aca="1" ref="E76" ca="1">IF($R74=2,
         IF(AND(ACOMPANHAMENTO="PLE",ISNUMBER($F74)),
                SUMIF((OFFSET(CÁLCULO!$AM$15:$AW$15,$F74,0,OFFSET(ORÇAMENTO!$D$15,CRONO!$F74,0))),CRONO!E$12,OFFSET(CÁLCULO!$AB$15:$AL$15,$F74,0,OFFSET(ORÇAMENTO!$D$15,CRONO!$F74,0)))
                +IF(AND($F76&lt;&gt;"",$F76&lt;&gt;0),
                        SUMIF(CÁLCULO!$AM$15:$AW$44,CRONO!E$12,CÁLCULO!$AB$15:$AL$44)/(ORÇAMENTO!$X$15-CÁLCULO.TotalAdmLocal)*CRONO!$F76,
                        0),
                 E75*$S74),
          SUMIF(OFFSET($S76,1,0,$R74-2),($M74+1)&amp;"$",OFFSET(E76,1,0,$R74-2)))</f>
        <v>0</v>
      </c>
      <c r="F76" s="185" t="str">
        <f ca="1">IF(OR($R74&lt;&gt;2,AUTOEVENTO&lt;&gt;"manual",$F75&gt;0),"",
        IF(Import.TipoArredondamento="Tradicional",
              SUMIF(OFFSET(CÁLCULO!$M$15,CRONO!$F74,0,OFFSET(ORÇAMENTO!$D$15,CRONO!$F74,0)),1,OFFSET(ORÇAMENTO!$X$15,CRONO!$F74,0,OFFSET(ORÇAMENTO!$D$15,CRONO!$F74,0))),
              0))</f>
        <v/>
      </c>
      <c r="H76" s="203"/>
      <c r="S76" s="204" t="str">
        <f t="shared" ref="S76" ca="1" si="127">M74&amp;"$"</f>
        <v>1$</v>
      </c>
      <c r="T76" s="205"/>
      <c r="U76" s="202" cm="1">
        <f t="array" aca="1" ref="U76" ca="1">IF($R74=2,
         IF(AND(ACOMPANHAMENTO="PLE",ISNUMBER($F74)),
                SUMIF((OFFSET(CÁLCULO!$AM$15:$AW$15,$F74,0,OFFSET(ORÇAMENTO!$D$15,CRONO!$F74,0))),CRONO!U$12,OFFSET(CÁLCULO!$AB$15:$AL$15,$F74,0,OFFSET(ORÇAMENTO!$D$15,CRONO!$F74,0)))
                +IF(AND($F76&lt;&gt;"",$F76&lt;&gt;0),
                        SUMIF(CÁLCULO!$AM$15:$AW$44,CRONO!U$12,CÁLCULO!$AB$15:$AL$44)/(ORÇAMENTO!$X$15-CÁLCULO.TotalAdmLocal)*CRONO!$F76,
                        0),
                 U75*$S74),
          SUMIF(OFFSET($S76,1,0,$R74-2),($M74+1)&amp;"$",OFFSET(U76,1,0,$R74-2)))</f>
        <v>0</v>
      </c>
      <c r="V76" s="202" cm="1">
        <f t="array" aca="1" ref="V76" ca="1">IF($R74=2,
         IF(AND(ACOMPANHAMENTO="PLE",ISNUMBER($F74)),
                SUMIF((OFFSET(CÁLCULO!$AM$15:$AW$15,$F74,0,OFFSET(ORÇAMENTO!$D$15,CRONO!$F74,0))),CRONO!V$12,OFFSET(CÁLCULO!$AB$15:$AL$15,$F74,0,OFFSET(ORÇAMENTO!$D$15,CRONO!$F74,0)))
                +IF(AND($F76&lt;&gt;"",$F76&lt;&gt;0),
                        SUMIF(CÁLCULO!$AM$15:$AW$44,CRONO!V$12,CÁLCULO!$AB$15:$AL$44)/(ORÇAMENTO!$X$15-CÁLCULO.TotalAdmLocal)*CRONO!$F76,
                        0),
                 V75*$S74),
          SUMIF(OFFSET($S76,1,0,$R74-2),($M74+1)&amp;"$",OFFSET(V76,1,0,$R74-2)))</f>
        <v>0</v>
      </c>
      <c r="W76" s="202" cm="1">
        <f t="array" aca="1" ref="W76" ca="1">IF($R74=2,
         IF(AND(ACOMPANHAMENTO="PLE",ISNUMBER($F74)),
                SUMIF((OFFSET(CÁLCULO!$AM$15:$AW$15,$F74,0,OFFSET(ORÇAMENTO!$D$15,CRONO!$F74,0))),CRONO!W$12,OFFSET(CÁLCULO!$AB$15:$AL$15,$F74,0,OFFSET(ORÇAMENTO!$D$15,CRONO!$F74,0)))
                +IF(AND($F76&lt;&gt;"",$F76&lt;&gt;0),
                        SUMIF(CÁLCULO!$AM$15:$AW$44,CRONO!W$12,CÁLCULO!$AB$15:$AL$44)/(ORÇAMENTO!$X$15-CÁLCULO.TotalAdmLocal)*CRONO!$F76,
                        0),
                 W75*$S74),
          SUMIF(OFFSET($S76,1,0,$R74-2),($M74+1)&amp;"$",OFFSET(W76,1,0,$R74-2)))</f>
        <v>0</v>
      </c>
      <c r="X76" s="202" cm="1">
        <f t="array" aca="1" ref="X76" ca="1">IF($R74=2,
         IF(AND(ACOMPANHAMENTO="PLE",ISNUMBER($F74)),
                SUMIF((OFFSET(CÁLCULO!$AM$15:$AW$15,$F74,0,OFFSET(ORÇAMENTO!$D$15,CRONO!$F74,0))),CRONO!X$12,OFFSET(CÁLCULO!$AB$15:$AL$15,$F74,0,OFFSET(ORÇAMENTO!$D$15,CRONO!$F74,0)))
                +IF(AND($F76&lt;&gt;"",$F76&lt;&gt;0),
                        SUMIF(CÁLCULO!$AM$15:$AW$44,CRONO!X$12,CÁLCULO!$AB$15:$AL$44)/(ORÇAMENTO!$X$15-CÁLCULO.TotalAdmLocal)*CRONO!$F76,
                        0),
                 X75*$S74),
          SUMIF(OFFSET($S76,1,0,$R74-2),($M74+1)&amp;"$",OFFSET(X76,1,0,$R74-2)))</f>
        <v>0</v>
      </c>
      <c r="Y76" s="202" cm="1">
        <f t="array" aca="1" ref="Y76" ca="1">IF($R74=2,
         IF(AND(ACOMPANHAMENTO="PLE",ISNUMBER($F74)),
                SUMIF((OFFSET(CÁLCULO!$AM$15:$AW$15,$F74,0,OFFSET(ORÇAMENTO!$D$15,CRONO!$F74,0))),CRONO!Y$12,OFFSET(CÁLCULO!$AB$15:$AL$15,$F74,0,OFFSET(ORÇAMENTO!$D$15,CRONO!$F74,0)))
                +IF(AND($F76&lt;&gt;"",$F76&lt;&gt;0),
                        SUMIF(CÁLCULO!$AM$15:$AW$44,CRONO!Y$12,CÁLCULO!$AB$15:$AL$44)/(ORÇAMENTO!$X$15-CÁLCULO.TotalAdmLocal)*CRONO!$F76,
                        0),
                 Y75*$S74),
          SUMIF(OFFSET($S76,1,0,$R74-2),($M74+1)&amp;"$",OFFSET(Y76,1,0,$R74-2)))</f>
        <v>0</v>
      </c>
      <c r="Z76" s="202" cm="1">
        <f t="array" aca="1" ref="Z76" ca="1">IF($R74=2,
         IF(AND(ACOMPANHAMENTO="PLE",ISNUMBER($F74)),
                SUMIF((OFFSET(CÁLCULO!$AM$15:$AW$15,$F74,0,OFFSET(ORÇAMENTO!$D$15,CRONO!$F74,0))),CRONO!Z$12,OFFSET(CÁLCULO!$AB$15:$AL$15,$F74,0,OFFSET(ORÇAMENTO!$D$15,CRONO!$F74,0)))
                +IF(AND($F76&lt;&gt;"",$F76&lt;&gt;0),
                        SUMIF(CÁLCULO!$AM$15:$AW$44,CRONO!Z$12,CÁLCULO!$AB$15:$AL$44)/(ORÇAMENTO!$X$15-CÁLCULO.TotalAdmLocal)*CRONO!$F76,
                        0),
                 Z75*$S74),
          SUMIF(OFFSET($S76,1,0,$R74-2),($M74+1)&amp;"$",OFFSET(Z76,1,0,$R74-2)))</f>
        <v>0</v>
      </c>
      <c r="AA76" s="202" cm="1">
        <f t="array" aca="1" ref="AA76" ca="1">IF($R74=2,
         IF(AND(ACOMPANHAMENTO="PLE",ISNUMBER($F74)),
                SUMIF((OFFSET(CÁLCULO!$AM$15:$AW$15,$F74,0,OFFSET(ORÇAMENTO!$D$15,CRONO!$F74,0))),CRONO!AA$12,OFFSET(CÁLCULO!$AB$15:$AL$15,$F74,0,OFFSET(ORÇAMENTO!$D$15,CRONO!$F74,0)))
                +IF(AND($F76&lt;&gt;"",$F76&lt;&gt;0),
                        SUMIF(CÁLCULO!$AM$15:$AW$44,CRONO!AA$12,CÁLCULO!$AB$15:$AL$44)/(ORÇAMENTO!$X$15-CÁLCULO.TotalAdmLocal)*CRONO!$F76,
                        0),
                 AA75*$S74),
          SUMIF(OFFSET($S76,1,0,$R74-2),($M74+1)&amp;"$",OFFSET(AA76,1,0,$R74-2)))</f>
        <v>0</v>
      </c>
      <c r="AB76" s="202" cm="1">
        <f t="array" aca="1" ref="AB76" ca="1">IF($R74=2,
         IF(AND(ACOMPANHAMENTO="PLE",ISNUMBER($F74)),
                SUMIF((OFFSET(CÁLCULO!$AM$15:$AW$15,$F74,0,OFFSET(ORÇAMENTO!$D$15,CRONO!$F74,0))),CRONO!AB$12,OFFSET(CÁLCULO!$AB$15:$AL$15,$F74,0,OFFSET(ORÇAMENTO!$D$15,CRONO!$F74,0)))
                +IF(AND($F76&lt;&gt;"",$F76&lt;&gt;0),
                        SUMIF(CÁLCULO!$AM$15:$AW$44,CRONO!AB$12,CÁLCULO!$AB$15:$AL$44)/(ORÇAMENTO!$X$15-CÁLCULO.TotalAdmLocal)*CRONO!$F76,
                        0),
                 AB75*$S74),
          SUMIF(OFFSET($S76,1,0,$R74-2),($M74+1)&amp;"$",OFFSET(AB76,1,0,$R74-2)))</f>
        <v>0</v>
      </c>
      <c r="AC76" s="202" cm="1">
        <f t="array" aca="1" ref="AC76" ca="1">IF($R74=2,
         IF(AND(ACOMPANHAMENTO="PLE",ISNUMBER($F74)),
                SUMIF((OFFSET(CÁLCULO!$AM$15:$AW$15,$F74,0,OFFSET(ORÇAMENTO!$D$15,CRONO!$F74,0))),CRONO!AC$12,OFFSET(CÁLCULO!$AB$15:$AL$15,$F74,0,OFFSET(ORÇAMENTO!$D$15,CRONO!$F74,0)))
                +IF(AND($F76&lt;&gt;"",$F76&lt;&gt;0),
                        SUMIF(CÁLCULO!$AM$15:$AW$44,CRONO!AC$12,CÁLCULO!$AB$15:$AL$44)/(ORÇAMENTO!$X$15-CÁLCULO.TotalAdmLocal)*CRONO!$F76,
                        0),
                 AC75*$S74),
          SUMIF(OFFSET($S76,1,0,$R74-2),($M74+1)&amp;"$",OFFSET(AC76,1,0,$R74-2)))</f>
        <v>0</v>
      </c>
      <c r="AD76" s="202" cm="1">
        <f t="array" aca="1" ref="AD76" ca="1">IF($R74=2,
         IF(AND(ACOMPANHAMENTO="PLE",ISNUMBER($F74)),
                SUMIF((OFFSET(CÁLCULO!$AM$15:$AW$15,$F74,0,OFFSET(ORÇAMENTO!$D$15,CRONO!$F74,0))),CRONO!AD$12,OFFSET(CÁLCULO!$AB$15:$AL$15,$F74,0,OFFSET(ORÇAMENTO!$D$15,CRONO!$F74,0)))
                +IF(AND($F76&lt;&gt;"",$F76&lt;&gt;0),
                        SUMIF(CÁLCULO!$AM$15:$AW$44,CRONO!AD$12,CÁLCULO!$AB$15:$AL$44)/(ORÇAMENTO!$X$15-CÁLCULO.TotalAdmLocal)*CRONO!$F76,
                        0),
                 AD75*$S74),
          SUMIF(OFFSET($S76,1,0,$R74-2),($M74+1)&amp;"$",OFFSET(AD76,1,0,$R74-2)))</f>
        <v>0</v>
      </c>
      <c r="AE76" s="202" cm="1">
        <f t="array" aca="1" ref="AE76" ca="1">IF($R74=2,
         IF(AND(ACOMPANHAMENTO="PLE",ISNUMBER($F74)),
                SUMIF((OFFSET(CÁLCULO!$AM$15:$AW$15,$F74,0,OFFSET(ORÇAMENTO!$D$15,CRONO!$F74,0))),CRONO!AE$12,OFFSET(CÁLCULO!$AB$15:$AL$15,$F74,0,OFFSET(ORÇAMENTO!$D$15,CRONO!$F74,0)))
                +IF(AND($F76&lt;&gt;"",$F76&lt;&gt;0),
                        SUMIF(CÁLCULO!$AM$15:$AW$44,CRONO!AE$12,CÁLCULO!$AB$15:$AL$44)/(ORÇAMENTO!$X$15-CÁLCULO.TotalAdmLocal)*CRONO!$F76,
                        0),
                 AE75*$S74),
          SUMIF(OFFSET($S76,1,0,$R74-2),($M74+1)&amp;"$",OFFSET(AE76,1,0,$R74-2)))</f>
        <v>0</v>
      </c>
      <c r="AF76" s="202" cm="1">
        <f t="array" aca="1" ref="AF76" ca="1">IF($R74=2,
         IF(AND(ACOMPANHAMENTO="PLE",ISNUMBER($F74)),
                SUMIF((OFFSET(CÁLCULO!$AM$15:$AW$15,$F74,0,OFFSET(ORÇAMENTO!$D$15,CRONO!$F74,0))),CRONO!AF$12,OFFSET(CÁLCULO!$AB$15:$AL$15,$F74,0,OFFSET(ORÇAMENTO!$D$15,CRONO!$F74,0)))
                +IF(AND($F76&lt;&gt;"",$F76&lt;&gt;0),
                        SUMIF(CÁLCULO!$AM$15:$AW$44,CRONO!AF$12,CÁLCULO!$AB$15:$AL$44)/(ORÇAMENTO!$X$15-CÁLCULO.TotalAdmLocal)*CRONO!$F76,
                        0),
                 AF75*$S74),
          SUMIF(OFFSET($S76,1,0,$R74-2),($M74+1)&amp;"$",OFFSET(AF76,1,0,$R74-2)))</f>
        <v>0</v>
      </c>
      <c r="AG76" s="534"/>
    </row>
    <row r="77" spans="1:33" x14ac:dyDescent="0.2">
      <c r="A77" s="186" t="str">
        <f t="shared" ref="A77" ca="1" si="128">IF($M77&gt;1,_xlfn.CONCAT($I77," ",$J77),"")</f>
        <v/>
      </c>
      <c r="B77" s="185">
        <f t="shared" ref="B77" ca="1" si="129">OFFSET(B77,-3,0)+1</f>
        <v>22</v>
      </c>
      <c r="C77" s="185">
        <f ca="1">IF($R77&lt;&gt;2,0,IF($S77=0,1,IF(F78&gt;0,OFFSET(QCI!$M$13,SUBSTITUTE(F78,".",""),0),OFFSET(ORÇAMENTO!$AA$15,CRONO!$F77,0))/$S77))</f>
        <v>0</v>
      </c>
      <c r="D77" s="185">
        <f ca="1">IF($R77&lt;&gt;2,0,IF($S77=0,1,IF(F78&gt;0,OFFSET(QCI!$N$13,SUBSTITUTE(F78,".",""),0),OFFSET(ORÇAMENTO!$AB$15,CRONO!$F77,0))/$S77))</f>
        <v>0</v>
      </c>
      <c r="E77" s="188" t="e" cm="1">
        <f t="array" aca="1" ref="E77" ca="1">IF(AND($R77=2,ACOMPANHAMENTO="BM"),ROUND(E78,4),E79/$S77)</f>
        <v>#VALUE!</v>
      </c>
      <c r="F77" s="185" t="e" cm="1">
        <f t="array" aca="1" ref="F77" ca="1">IF(B77&lt;=ORÇAMENTO.MáximoListaCrono,MATCH(B77,ORÇAMENTO.ListaCrono,0),NA())</f>
        <v>#N/A</v>
      </c>
      <c r="G77" s="185" t="str">
        <f t="shared" ref="G77" ca="1" si="130">IF(AND($F78&lt;&gt;-1,$S77&gt;0),"F","")</f>
        <v/>
      </c>
      <c r="H77" s="189" t="str" cm="1">
        <f t="array" aca="1" ref="H77" ca="1">IF(OR(S77=0,S77=""),"Linha",IF(AND(OR(ACOMPANHAMENTO="PLE",$R77&lt;&gt;2),$F78=0),"Linha",ROUND(1-SUM(U77:AG77),4)))</f>
        <v>Linha</v>
      </c>
      <c r="I77" s="190" t="str">
        <f ca="1">IF($F78=0,OFFSET(ORÇAMENTO!O$15,$F77,0),IF($F78&lt;&gt;-1,OFFSET(QCI!$D$13,$F78,0),""))</f>
        <v/>
      </c>
      <c r="J77" s="191" t="str">
        <f ca="1">IF($F78=0,OFFSET(ORÇAMENTO!R$15,$F77,0),IF($F78&lt;&gt;-1,OFFSET(QCI!$G$13,$F78,0),""))</f>
        <v/>
      </c>
      <c r="K77" s="191"/>
      <c r="L77" s="191"/>
      <c r="M77" s="192">
        <f ca="1">IF($F78=0,OFFSET(ORÇAMENTO!C$15,$F77,0),1)</f>
        <v>1</v>
      </c>
      <c r="N77" s="193">
        <f ca="1">IF($F78=-1,0,IF(N$13&lt;=$M77,IF(ISERROR(MATCH(N$13,OFFSET($M77,1,0,ROW($M$164)-ROW($M77)-1),0)),ROW($M$164)-ROW($M77)-1,MATCH(N$13,OFFSET($M77,1,0,ROW($M$164)-ROW($M77)-1),0)-1),0))</f>
        <v>0</v>
      </c>
      <c r="O77" s="193">
        <f ca="1">IF($F78=-1,0,IF(O$13&lt;=$M77,IF(ISERROR(MATCH(O$13,OFFSET($M77,1,0,ROW($M$164)-ROW($M77)-1),0)),ROW($M$164)-ROW($M77)-1,MATCH(O$13,OFFSET($M77,1,0,ROW($M$164)-ROW($M77)-1),0)-1),0))</f>
        <v>0</v>
      </c>
      <c r="P77" s="193">
        <f ca="1">IF($F78=-1,0,IF(P$13&lt;=$M77,IF(ISERROR(MATCH(P$13,OFFSET($M77,1,0,ROW($M$164)-ROW($M77)-1),0)),ROW($M$164)-ROW($M77)-1,MATCH(P$13,OFFSET($M77,1,0,ROW($M$164)-ROW($M77)-1),0)-1),0))</f>
        <v>0</v>
      </c>
      <c r="Q77" s="193">
        <f ca="1">IF($F78=-1,0,IF(Q$13&lt;=$M77,IF(ISERROR(MATCH(Q$13,OFFSET($M77,1,0,ROW($M$164)-ROW($M77)-1),0)),ROW($M$164)-ROW($M77)-1,MATCH(Q$13,OFFSET($M77,1,0,ROW($M$164)-ROW($M77)-1),0)-1),0))</f>
        <v>0</v>
      </c>
      <c r="R77" s="193">
        <f t="shared" ref="R77" ca="1" si="131">MIN(OFFSET(M77,0,1,,M77))</f>
        <v>0</v>
      </c>
      <c r="S77" s="194" t="str">
        <f ca="1">IF($F78=0,OFFSET(ORÇAMENTO!X$15,$F77,0),IF($F78&lt;&gt;-1,OFFSET(QCI!$O$13,$F78,0),""))</f>
        <v/>
      </c>
      <c r="T77" s="195" t="s">
        <v>785</v>
      </c>
      <c r="U77" s="188" t="e" cm="1">
        <f t="array" aca="1" ref="U77" ca="1">IF(AND($R77=2,ACOMPANHAMENTO="BM"),ROUND(U78,4),U79/$S77)</f>
        <v>#VALUE!</v>
      </c>
      <c r="V77" s="188" t="e" cm="1">
        <f t="array" aca="1" ref="V77" ca="1">IF(AND($R77=2,ACOMPANHAMENTO="BM"),ROUND(V78,4),V79/$S77)</f>
        <v>#VALUE!</v>
      </c>
      <c r="W77" s="188" t="e" cm="1">
        <f t="array" aca="1" ref="W77" ca="1">IF(AND($R77=2,ACOMPANHAMENTO="BM"),ROUND(W78,4),W79/$S77)</f>
        <v>#VALUE!</v>
      </c>
      <c r="X77" s="188" t="e" cm="1">
        <f t="array" aca="1" ref="X77" ca="1">IF(AND($R77=2,ACOMPANHAMENTO="BM"),ROUND(X78,4),X79/$S77)</f>
        <v>#VALUE!</v>
      </c>
      <c r="Y77" s="188" t="e" cm="1">
        <f t="array" aca="1" ref="Y77" ca="1">IF(AND($R77=2,ACOMPANHAMENTO="BM"),ROUND(Y78,4),Y79/$S77)</f>
        <v>#VALUE!</v>
      </c>
      <c r="Z77" s="188" t="e" cm="1">
        <f t="array" aca="1" ref="Z77" ca="1">IF(AND($R77=2,ACOMPANHAMENTO="BM"),ROUND(Z78,4),Z79/$S77)</f>
        <v>#VALUE!</v>
      </c>
      <c r="AA77" s="188" t="e" cm="1">
        <f t="array" aca="1" ref="AA77" ca="1">IF(AND($R77=2,ACOMPANHAMENTO="BM"),ROUND(AA78,4),AA79/$S77)</f>
        <v>#VALUE!</v>
      </c>
      <c r="AB77" s="188" t="e" cm="1">
        <f t="array" aca="1" ref="AB77" ca="1">IF(AND($R77=2,ACOMPANHAMENTO="BM"),ROUND(AB78,4),AB79/$S77)</f>
        <v>#VALUE!</v>
      </c>
      <c r="AC77" s="188" t="e" cm="1">
        <f t="array" aca="1" ref="AC77" ca="1">IF(AND($R77=2,ACOMPANHAMENTO="BM"),ROUND(AC78,4),AC79/$S77)</f>
        <v>#VALUE!</v>
      </c>
      <c r="AD77" s="188" t="e" cm="1">
        <f t="array" aca="1" ref="AD77" ca="1">IF(AND($R77=2,ACOMPANHAMENTO="BM"),ROUND(AD78,4),AD79/$S77)</f>
        <v>#VALUE!</v>
      </c>
      <c r="AE77" s="188" t="e" cm="1">
        <f t="array" aca="1" ref="AE77" ca="1">IF(AND($R77=2,ACOMPANHAMENTO="BM"),ROUND(AE78,4),AE79/$S77)</f>
        <v>#VALUE!</v>
      </c>
      <c r="AF77" s="188" t="e" cm="1">
        <f t="array" aca="1" ref="AF77" ca="1">IF(AND($R77=2,ACOMPANHAMENTO="BM"),ROUND(AF78,4),AF79/$S77)</f>
        <v>#VALUE!</v>
      </c>
      <c r="AG77" s="534"/>
    </row>
    <row r="78" spans="1:33" ht="12.75" customHeight="1" x14ac:dyDescent="0.2">
      <c r="E78" s="587"/>
      <c r="F78" s="185">
        <f ca="1">IF(ISERROR(F77),IF(1+COUNTIF($M$13:OFFSET(M77,-1,0),1)&lt;=MAX(QCI!$D$13:$D$24),1+COUNTIF($M$13:OFFSET(M77,-1,0),1),-1),0)</f>
        <v>-1</v>
      </c>
      <c r="G78" s="185" t="str" cm="1">
        <f t="array" aca="1" ref="G78" ca="1">IF(ACOMPANHAMENTO="BM",OFFSET(G78,-1,0),"")</f>
        <v/>
      </c>
      <c r="H78" s="196" t="str" cm="1">
        <f t="array" aca="1" ref="H78" ca="1">IF(OR(S77=0,S77=""),"vazia",IF(AND(OR(ACOMPANHAMENTO="PLE",$R77&lt;&gt;2),$F78=0),"calculada","--&gt;"))</f>
        <v>vazia</v>
      </c>
      <c r="I78" s="197"/>
      <c r="J78" s="198" t="str">
        <f t="shared" ref="J78" ca="1" si="132">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customHeight="1" x14ac:dyDescent="0.2">
      <c r="D79" s="533"/>
      <c r="E79" s="202" cm="1">
        <f t="array" aca="1" ref="E79" ca="1">IF($R77=2,
         IF(AND(ACOMPANHAMENTO="PLE",ISNUMBER($F77)),
                SUMIF((OFFSET(CÁLCULO!$AM$15:$AW$15,$F77,0,OFFSET(ORÇAMENTO!$D$15,CRONO!$F77,0))),CRONO!E$12,OFFSET(CÁLCULO!$AB$15:$AL$15,$F77,0,OFFSET(ORÇAMENTO!$D$15,CRONO!$F77,0)))
                +IF(AND($F79&lt;&gt;"",$F79&lt;&gt;0),
                        SUMIF(CÁLCULO!$AM$15:$AW$44,CRONO!E$12,CÁLCULO!$AB$15:$AL$44)/(ORÇAMENTO!$X$15-CÁLCULO.TotalAdmLocal)*CRONO!$F79,
                        0),
                 E78*$S77),
          SUMIF(OFFSET($S79,1,0,$R77-2),($M77+1)&amp;"$",OFFSET(E79,1,0,$R77-2)))</f>
        <v>0</v>
      </c>
      <c r="F79" s="185" t="str">
        <f ca="1">IF(OR($R77&lt;&gt;2,AUTOEVENTO&lt;&gt;"manual",$F78&gt;0),"",
        IF(Import.TipoArredondamento="Tradicional",
              SUMIF(OFFSET(CÁLCULO!$M$15,CRONO!$F77,0,OFFSET(ORÇAMENTO!$D$15,CRONO!$F77,0)),1,OFFSET(ORÇAMENTO!$X$15,CRONO!$F77,0,OFFSET(ORÇAMENTO!$D$15,CRONO!$F77,0))),
              0))</f>
        <v/>
      </c>
      <c r="H79" s="203"/>
      <c r="S79" s="204" t="str">
        <f t="shared" ref="S79" ca="1" si="133">M77&amp;"$"</f>
        <v>1$</v>
      </c>
      <c r="T79" s="205"/>
      <c r="U79" s="202" cm="1">
        <f t="array" aca="1" ref="U79" ca="1">IF($R77=2,
         IF(AND(ACOMPANHAMENTO="PLE",ISNUMBER($F77)),
                SUMIF((OFFSET(CÁLCULO!$AM$15:$AW$15,$F77,0,OFFSET(ORÇAMENTO!$D$15,CRONO!$F77,0))),CRONO!U$12,OFFSET(CÁLCULO!$AB$15:$AL$15,$F77,0,OFFSET(ORÇAMENTO!$D$15,CRONO!$F77,0)))
                +IF(AND($F79&lt;&gt;"",$F79&lt;&gt;0),
                        SUMIF(CÁLCULO!$AM$15:$AW$44,CRONO!U$12,CÁLCULO!$AB$15:$AL$44)/(ORÇAMENTO!$X$15-CÁLCULO.TotalAdmLocal)*CRONO!$F79,
                        0),
                 U78*$S77),
          SUMIF(OFFSET($S79,1,0,$R77-2),($M77+1)&amp;"$",OFFSET(U79,1,0,$R77-2)))</f>
        <v>0</v>
      </c>
      <c r="V79" s="202" cm="1">
        <f t="array" aca="1" ref="V79" ca="1">IF($R77=2,
         IF(AND(ACOMPANHAMENTO="PLE",ISNUMBER($F77)),
                SUMIF((OFFSET(CÁLCULO!$AM$15:$AW$15,$F77,0,OFFSET(ORÇAMENTO!$D$15,CRONO!$F77,0))),CRONO!V$12,OFFSET(CÁLCULO!$AB$15:$AL$15,$F77,0,OFFSET(ORÇAMENTO!$D$15,CRONO!$F77,0)))
                +IF(AND($F79&lt;&gt;"",$F79&lt;&gt;0),
                        SUMIF(CÁLCULO!$AM$15:$AW$44,CRONO!V$12,CÁLCULO!$AB$15:$AL$44)/(ORÇAMENTO!$X$15-CÁLCULO.TotalAdmLocal)*CRONO!$F79,
                        0),
                 V78*$S77),
          SUMIF(OFFSET($S79,1,0,$R77-2),($M77+1)&amp;"$",OFFSET(V79,1,0,$R77-2)))</f>
        <v>0</v>
      </c>
      <c r="W79" s="202" cm="1">
        <f t="array" aca="1" ref="W79" ca="1">IF($R77=2,
         IF(AND(ACOMPANHAMENTO="PLE",ISNUMBER($F77)),
                SUMIF((OFFSET(CÁLCULO!$AM$15:$AW$15,$F77,0,OFFSET(ORÇAMENTO!$D$15,CRONO!$F77,0))),CRONO!W$12,OFFSET(CÁLCULO!$AB$15:$AL$15,$F77,0,OFFSET(ORÇAMENTO!$D$15,CRONO!$F77,0)))
                +IF(AND($F79&lt;&gt;"",$F79&lt;&gt;0),
                        SUMIF(CÁLCULO!$AM$15:$AW$44,CRONO!W$12,CÁLCULO!$AB$15:$AL$44)/(ORÇAMENTO!$X$15-CÁLCULO.TotalAdmLocal)*CRONO!$F79,
                        0),
                 W78*$S77),
          SUMIF(OFFSET($S79,1,0,$R77-2),($M77+1)&amp;"$",OFFSET(W79,1,0,$R77-2)))</f>
        <v>0</v>
      </c>
      <c r="X79" s="202" cm="1">
        <f t="array" aca="1" ref="X79" ca="1">IF($R77=2,
         IF(AND(ACOMPANHAMENTO="PLE",ISNUMBER($F77)),
                SUMIF((OFFSET(CÁLCULO!$AM$15:$AW$15,$F77,0,OFFSET(ORÇAMENTO!$D$15,CRONO!$F77,0))),CRONO!X$12,OFFSET(CÁLCULO!$AB$15:$AL$15,$F77,0,OFFSET(ORÇAMENTO!$D$15,CRONO!$F77,0)))
                +IF(AND($F79&lt;&gt;"",$F79&lt;&gt;0),
                        SUMIF(CÁLCULO!$AM$15:$AW$44,CRONO!X$12,CÁLCULO!$AB$15:$AL$44)/(ORÇAMENTO!$X$15-CÁLCULO.TotalAdmLocal)*CRONO!$F79,
                        0),
                 X78*$S77),
          SUMIF(OFFSET($S79,1,0,$R77-2),($M77+1)&amp;"$",OFFSET(X79,1,0,$R77-2)))</f>
        <v>0</v>
      </c>
      <c r="Y79" s="202" cm="1">
        <f t="array" aca="1" ref="Y79" ca="1">IF($R77=2,
         IF(AND(ACOMPANHAMENTO="PLE",ISNUMBER($F77)),
                SUMIF((OFFSET(CÁLCULO!$AM$15:$AW$15,$F77,0,OFFSET(ORÇAMENTO!$D$15,CRONO!$F77,0))),CRONO!Y$12,OFFSET(CÁLCULO!$AB$15:$AL$15,$F77,0,OFFSET(ORÇAMENTO!$D$15,CRONO!$F77,0)))
                +IF(AND($F79&lt;&gt;"",$F79&lt;&gt;0),
                        SUMIF(CÁLCULO!$AM$15:$AW$44,CRONO!Y$12,CÁLCULO!$AB$15:$AL$44)/(ORÇAMENTO!$X$15-CÁLCULO.TotalAdmLocal)*CRONO!$F79,
                        0),
                 Y78*$S77),
          SUMIF(OFFSET($S79,1,0,$R77-2),($M77+1)&amp;"$",OFFSET(Y79,1,0,$R77-2)))</f>
        <v>0</v>
      </c>
      <c r="Z79" s="202" cm="1">
        <f t="array" aca="1" ref="Z79" ca="1">IF($R77=2,
         IF(AND(ACOMPANHAMENTO="PLE",ISNUMBER($F77)),
                SUMIF((OFFSET(CÁLCULO!$AM$15:$AW$15,$F77,0,OFFSET(ORÇAMENTO!$D$15,CRONO!$F77,0))),CRONO!Z$12,OFFSET(CÁLCULO!$AB$15:$AL$15,$F77,0,OFFSET(ORÇAMENTO!$D$15,CRONO!$F77,0)))
                +IF(AND($F79&lt;&gt;"",$F79&lt;&gt;0),
                        SUMIF(CÁLCULO!$AM$15:$AW$44,CRONO!Z$12,CÁLCULO!$AB$15:$AL$44)/(ORÇAMENTO!$X$15-CÁLCULO.TotalAdmLocal)*CRONO!$F79,
                        0),
                 Z78*$S77),
          SUMIF(OFFSET($S79,1,0,$R77-2),($M77+1)&amp;"$",OFFSET(Z79,1,0,$R77-2)))</f>
        <v>0</v>
      </c>
      <c r="AA79" s="202" cm="1">
        <f t="array" aca="1" ref="AA79" ca="1">IF($R77=2,
         IF(AND(ACOMPANHAMENTO="PLE",ISNUMBER($F77)),
                SUMIF((OFFSET(CÁLCULO!$AM$15:$AW$15,$F77,0,OFFSET(ORÇAMENTO!$D$15,CRONO!$F77,0))),CRONO!AA$12,OFFSET(CÁLCULO!$AB$15:$AL$15,$F77,0,OFFSET(ORÇAMENTO!$D$15,CRONO!$F77,0)))
                +IF(AND($F79&lt;&gt;"",$F79&lt;&gt;0),
                        SUMIF(CÁLCULO!$AM$15:$AW$44,CRONO!AA$12,CÁLCULO!$AB$15:$AL$44)/(ORÇAMENTO!$X$15-CÁLCULO.TotalAdmLocal)*CRONO!$F79,
                        0),
                 AA78*$S77),
          SUMIF(OFFSET($S79,1,0,$R77-2),($M77+1)&amp;"$",OFFSET(AA79,1,0,$R77-2)))</f>
        <v>0</v>
      </c>
      <c r="AB79" s="202" cm="1">
        <f t="array" aca="1" ref="AB79" ca="1">IF($R77=2,
         IF(AND(ACOMPANHAMENTO="PLE",ISNUMBER($F77)),
                SUMIF((OFFSET(CÁLCULO!$AM$15:$AW$15,$F77,0,OFFSET(ORÇAMENTO!$D$15,CRONO!$F77,0))),CRONO!AB$12,OFFSET(CÁLCULO!$AB$15:$AL$15,$F77,0,OFFSET(ORÇAMENTO!$D$15,CRONO!$F77,0)))
                +IF(AND($F79&lt;&gt;"",$F79&lt;&gt;0),
                        SUMIF(CÁLCULO!$AM$15:$AW$44,CRONO!AB$12,CÁLCULO!$AB$15:$AL$44)/(ORÇAMENTO!$X$15-CÁLCULO.TotalAdmLocal)*CRONO!$F79,
                        0),
                 AB78*$S77),
          SUMIF(OFFSET($S79,1,0,$R77-2),($M77+1)&amp;"$",OFFSET(AB79,1,0,$R77-2)))</f>
        <v>0</v>
      </c>
      <c r="AC79" s="202" cm="1">
        <f t="array" aca="1" ref="AC79" ca="1">IF($R77=2,
         IF(AND(ACOMPANHAMENTO="PLE",ISNUMBER($F77)),
                SUMIF((OFFSET(CÁLCULO!$AM$15:$AW$15,$F77,0,OFFSET(ORÇAMENTO!$D$15,CRONO!$F77,0))),CRONO!AC$12,OFFSET(CÁLCULO!$AB$15:$AL$15,$F77,0,OFFSET(ORÇAMENTO!$D$15,CRONO!$F77,0)))
                +IF(AND($F79&lt;&gt;"",$F79&lt;&gt;0),
                        SUMIF(CÁLCULO!$AM$15:$AW$44,CRONO!AC$12,CÁLCULO!$AB$15:$AL$44)/(ORÇAMENTO!$X$15-CÁLCULO.TotalAdmLocal)*CRONO!$F79,
                        0),
                 AC78*$S77),
          SUMIF(OFFSET($S79,1,0,$R77-2),($M77+1)&amp;"$",OFFSET(AC79,1,0,$R77-2)))</f>
        <v>0</v>
      </c>
      <c r="AD79" s="202" cm="1">
        <f t="array" aca="1" ref="AD79" ca="1">IF($R77=2,
         IF(AND(ACOMPANHAMENTO="PLE",ISNUMBER($F77)),
                SUMIF((OFFSET(CÁLCULO!$AM$15:$AW$15,$F77,0,OFFSET(ORÇAMENTO!$D$15,CRONO!$F77,0))),CRONO!AD$12,OFFSET(CÁLCULO!$AB$15:$AL$15,$F77,0,OFFSET(ORÇAMENTO!$D$15,CRONO!$F77,0)))
                +IF(AND($F79&lt;&gt;"",$F79&lt;&gt;0),
                        SUMIF(CÁLCULO!$AM$15:$AW$44,CRONO!AD$12,CÁLCULO!$AB$15:$AL$44)/(ORÇAMENTO!$X$15-CÁLCULO.TotalAdmLocal)*CRONO!$F79,
                        0),
                 AD78*$S77),
          SUMIF(OFFSET($S79,1,0,$R77-2),($M77+1)&amp;"$",OFFSET(AD79,1,0,$R77-2)))</f>
        <v>0</v>
      </c>
      <c r="AE79" s="202" cm="1">
        <f t="array" aca="1" ref="AE79" ca="1">IF($R77=2,
         IF(AND(ACOMPANHAMENTO="PLE",ISNUMBER($F77)),
                SUMIF((OFFSET(CÁLCULO!$AM$15:$AW$15,$F77,0,OFFSET(ORÇAMENTO!$D$15,CRONO!$F77,0))),CRONO!AE$12,OFFSET(CÁLCULO!$AB$15:$AL$15,$F77,0,OFFSET(ORÇAMENTO!$D$15,CRONO!$F77,0)))
                +IF(AND($F79&lt;&gt;"",$F79&lt;&gt;0),
                        SUMIF(CÁLCULO!$AM$15:$AW$44,CRONO!AE$12,CÁLCULO!$AB$15:$AL$44)/(ORÇAMENTO!$X$15-CÁLCULO.TotalAdmLocal)*CRONO!$F79,
                        0),
                 AE78*$S77),
          SUMIF(OFFSET($S79,1,0,$R77-2),($M77+1)&amp;"$",OFFSET(AE79,1,0,$R77-2)))</f>
        <v>0</v>
      </c>
      <c r="AF79" s="202" cm="1">
        <f t="array" aca="1" ref="AF79" ca="1">IF($R77=2,
         IF(AND(ACOMPANHAMENTO="PLE",ISNUMBER($F77)),
                SUMIF((OFFSET(CÁLCULO!$AM$15:$AW$15,$F77,0,OFFSET(ORÇAMENTO!$D$15,CRONO!$F77,0))),CRONO!AF$12,OFFSET(CÁLCULO!$AB$15:$AL$15,$F77,0,OFFSET(ORÇAMENTO!$D$15,CRONO!$F77,0)))
                +IF(AND($F79&lt;&gt;"",$F79&lt;&gt;0),
                        SUMIF(CÁLCULO!$AM$15:$AW$44,CRONO!AF$12,CÁLCULO!$AB$15:$AL$44)/(ORÇAMENTO!$X$15-CÁLCULO.TotalAdmLocal)*CRONO!$F79,
                        0),
                 AF78*$S77),
          SUMIF(OFFSET($S79,1,0,$R77-2),($M77+1)&amp;"$",OFFSET(AF79,1,0,$R77-2)))</f>
        <v>0</v>
      </c>
      <c r="AG79" s="534"/>
    </row>
    <row r="80" spans="1:33" x14ac:dyDescent="0.2">
      <c r="A80" s="186" t="str">
        <f t="shared" ref="A80" ca="1" si="134">IF($M80&gt;1,_xlfn.CONCAT($I80," ",$J80),"")</f>
        <v/>
      </c>
      <c r="B80" s="185">
        <f t="shared" ref="B80" ca="1" si="135">OFFSET(B80,-3,0)+1</f>
        <v>23</v>
      </c>
      <c r="C80" s="185">
        <f ca="1">IF($R80&lt;&gt;2,0,IF($S80=0,1,IF(F81&gt;0,OFFSET(QCI!$M$13,SUBSTITUTE(F81,".",""),0),OFFSET(ORÇAMENTO!$AA$15,CRONO!$F80,0))/$S80))</f>
        <v>0</v>
      </c>
      <c r="D80" s="185">
        <f ca="1">IF($R80&lt;&gt;2,0,IF($S80=0,1,IF(F81&gt;0,OFFSET(QCI!$N$13,SUBSTITUTE(F81,".",""),0),OFFSET(ORÇAMENTO!$AB$15,CRONO!$F80,0))/$S80))</f>
        <v>0</v>
      </c>
      <c r="E80" s="188" t="e" cm="1">
        <f t="array" aca="1" ref="E80" ca="1">IF(AND($R80=2,ACOMPANHAMENTO="BM"),ROUND(E81,4),E82/$S80)</f>
        <v>#VALUE!</v>
      </c>
      <c r="F80" s="185" t="e" cm="1">
        <f t="array" aca="1" ref="F80" ca="1">IF(B80&lt;=ORÇAMENTO.MáximoListaCrono,MATCH(B80,ORÇAMENTO.ListaCrono,0),NA())</f>
        <v>#N/A</v>
      </c>
      <c r="G80" s="185" t="str">
        <f t="shared" ref="G80" ca="1" si="136">IF(AND($F81&lt;&gt;-1,$S80&gt;0),"F","")</f>
        <v/>
      </c>
      <c r="H80" s="189" t="str" cm="1">
        <f t="array" aca="1" ref="H80" ca="1">IF(OR(S80=0,S80=""),"Linha",IF(AND(OR(ACOMPANHAMENTO="PLE",$R80&lt;&gt;2),$F81=0),"Linha",ROUND(1-SUM(U80:AG80),4)))</f>
        <v>Linha</v>
      </c>
      <c r="I80" s="190" t="str">
        <f ca="1">IF($F81=0,OFFSET(ORÇAMENTO!O$15,$F80,0),IF($F81&lt;&gt;-1,OFFSET(QCI!$D$13,$F81,0),""))</f>
        <v/>
      </c>
      <c r="J80" s="191" t="str">
        <f ca="1">IF($F81=0,OFFSET(ORÇAMENTO!R$15,$F80,0),IF($F81&lt;&gt;-1,OFFSET(QCI!$G$13,$F81,0),""))</f>
        <v/>
      </c>
      <c r="K80" s="191"/>
      <c r="L80" s="191"/>
      <c r="M80" s="192">
        <f ca="1">IF($F81=0,OFFSET(ORÇAMENTO!C$15,$F80,0),1)</f>
        <v>1</v>
      </c>
      <c r="N80" s="193">
        <f ca="1">IF($F81=-1,0,IF(N$13&lt;=$M80,IF(ISERROR(MATCH(N$13,OFFSET($M80,1,0,ROW($M$164)-ROW($M80)-1),0)),ROW($M$164)-ROW($M80)-1,MATCH(N$13,OFFSET($M80,1,0,ROW($M$164)-ROW($M80)-1),0)-1),0))</f>
        <v>0</v>
      </c>
      <c r="O80" s="193">
        <f ca="1">IF($F81=-1,0,IF(O$13&lt;=$M80,IF(ISERROR(MATCH(O$13,OFFSET($M80,1,0,ROW($M$164)-ROW($M80)-1),0)),ROW($M$164)-ROW($M80)-1,MATCH(O$13,OFFSET($M80,1,0,ROW($M$164)-ROW($M80)-1),0)-1),0))</f>
        <v>0</v>
      </c>
      <c r="P80" s="193">
        <f ca="1">IF($F81=-1,0,IF(P$13&lt;=$M80,IF(ISERROR(MATCH(P$13,OFFSET($M80,1,0,ROW($M$164)-ROW($M80)-1),0)),ROW($M$164)-ROW($M80)-1,MATCH(P$13,OFFSET($M80,1,0,ROW($M$164)-ROW($M80)-1),0)-1),0))</f>
        <v>0</v>
      </c>
      <c r="Q80" s="193">
        <f ca="1">IF($F81=-1,0,IF(Q$13&lt;=$M80,IF(ISERROR(MATCH(Q$13,OFFSET($M80,1,0,ROW($M$164)-ROW($M80)-1),0)),ROW($M$164)-ROW($M80)-1,MATCH(Q$13,OFFSET($M80,1,0,ROW($M$164)-ROW($M80)-1),0)-1),0))</f>
        <v>0</v>
      </c>
      <c r="R80" s="193">
        <f t="shared" ref="R80" ca="1" si="137">MIN(OFFSET(M80,0,1,,M80))</f>
        <v>0</v>
      </c>
      <c r="S80" s="194" t="str">
        <f ca="1">IF($F81=0,OFFSET(ORÇAMENTO!X$15,$F80,0),IF($F81&lt;&gt;-1,OFFSET(QCI!$O$13,$F81,0),""))</f>
        <v/>
      </c>
      <c r="T80" s="195" t="s">
        <v>785</v>
      </c>
      <c r="U80" s="188" t="e" cm="1">
        <f t="array" aca="1" ref="U80" ca="1">IF(AND($R80=2,ACOMPANHAMENTO="BM"),ROUND(U81,4),U82/$S80)</f>
        <v>#VALUE!</v>
      </c>
      <c r="V80" s="188" t="e" cm="1">
        <f t="array" aca="1" ref="V80" ca="1">IF(AND($R80=2,ACOMPANHAMENTO="BM"),ROUND(V81,4),V82/$S80)</f>
        <v>#VALUE!</v>
      </c>
      <c r="W80" s="188" t="e" cm="1">
        <f t="array" aca="1" ref="W80" ca="1">IF(AND($R80=2,ACOMPANHAMENTO="BM"),ROUND(W81,4),W82/$S80)</f>
        <v>#VALUE!</v>
      </c>
      <c r="X80" s="188" t="e" cm="1">
        <f t="array" aca="1" ref="X80" ca="1">IF(AND($R80=2,ACOMPANHAMENTO="BM"),ROUND(X81,4),X82/$S80)</f>
        <v>#VALUE!</v>
      </c>
      <c r="Y80" s="188" t="e" cm="1">
        <f t="array" aca="1" ref="Y80" ca="1">IF(AND($R80=2,ACOMPANHAMENTO="BM"),ROUND(Y81,4),Y82/$S80)</f>
        <v>#VALUE!</v>
      </c>
      <c r="Z80" s="188" t="e" cm="1">
        <f t="array" aca="1" ref="Z80" ca="1">IF(AND($R80=2,ACOMPANHAMENTO="BM"),ROUND(Z81,4),Z82/$S80)</f>
        <v>#VALUE!</v>
      </c>
      <c r="AA80" s="188" t="e" cm="1">
        <f t="array" aca="1" ref="AA80" ca="1">IF(AND($R80=2,ACOMPANHAMENTO="BM"),ROUND(AA81,4),AA82/$S80)</f>
        <v>#VALUE!</v>
      </c>
      <c r="AB80" s="188" t="e" cm="1">
        <f t="array" aca="1" ref="AB80" ca="1">IF(AND($R80=2,ACOMPANHAMENTO="BM"),ROUND(AB81,4),AB82/$S80)</f>
        <v>#VALUE!</v>
      </c>
      <c r="AC80" s="188" t="e" cm="1">
        <f t="array" aca="1" ref="AC80" ca="1">IF(AND($R80=2,ACOMPANHAMENTO="BM"),ROUND(AC81,4),AC82/$S80)</f>
        <v>#VALUE!</v>
      </c>
      <c r="AD80" s="188" t="e" cm="1">
        <f t="array" aca="1" ref="AD80" ca="1">IF(AND($R80=2,ACOMPANHAMENTO="BM"),ROUND(AD81,4),AD82/$S80)</f>
        <v>#VALUE!</v>
      </c>
      <c r="AE80" s="188" t="e" cm="1">
        <f t="array" aca="1" ref="AE80" ca="1">IF(AND($R80=2,ACOMPANHAMENTO="BM"),ROUND(AE81,4),AE82/$S80)</f>
        <v>#VALUE!</v>
      </c>
      <c r="AF80" s="188" t="e" cm="1">
        <f t="array" aca="1" ref="AF80" ca="1">IF(AND($R80=2,ACOMPANHAMENTO="BM"),ROUND(AF81,4),AF82/$S80)</f>
        <v>#VALUE!</v>
      </c>
      <c r="AG80" s="534"/>
    </row>
    <row r="81" spans="1:33" ht="12.75" customHeight="1" x14ac:dyDescent="0.2">
      <c r="E81" s="587"/>
      <c r="F81" s="185">
        <f ca="1">IF(ISERROR(F80),IF(1+COUNTIF($M$13:OFFSET(M80,-1,0),1)&lt;=MAX(QCI!$D$13:$D$24),1+COUNTIF($M$13:OFFSET(M80,-1,0),1),-1),0)</f>
        <v>-1</v>
      </c>
      <c r="G81" s="185" t="str" cm="1">
        <f t="array" aca="1" ref="G81" ca="1">IF(ACOMPANHAMENTO="BM",OFFSET(G81,-1,0),"")</f>
        <v/>
      </c>
      <c r="H81" s="196" t="str" cm="1">
        <f t="array" aca="1" ref="H81" ca="1">IF(OR(S80=0,S80=""),"vazia",IF(AND(OR(ACOMPANHAMENTO="PLE",$R80&lt;&gt;2),$F81=0),"calculada","--&gt;"))</f>
        <v>vazia</v>
      </c>
      <c r="I81" s="197"/>
      <c r="J81" s="198" t="str">
        <f t="shared" ref="J81" ca="1" si="138">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34"/>
    </row>
    <row r="82" spans="1:33" ht="12.75" customHeight="1" x14ac:dyDescent="0.2">
      <c r="D82" s="533"/>
      <c r="E82" s="202" cm="1">
        <f t="array" aca="1" ref="E82" ca="1">IF($R80=2,
         IF(AND(ACOMPANHAMENTO="PLE",ISNUMBER($F80)),
                SUMIF((OFFSET(CÁLCULO!$AM$15:$AW$15,$F80,0,OFFSET(ORÇAMENTO!$D$15,CRONO!$F80,0))),CRONO!E$12,OFFSET(CÁLCULO!$AB$15:$AL$15,$F80,0,OFFSET(ORÇAMENTO!$D$15,CRONO!$F80,0)))
                +IF(AND($F82&lt;&gt;"",$F82&lt;&gt;0),
                        SUMIF(CÁLCULO!$AM$15:$AW$44,CRONO!E$12,CÁLCULO!$AB$15:$AL$44)/(ORÇAMENTO!$X$15-CÁLCULO.TotalAdmLocal)*CRONO!$F82,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203"/>
      <c r="S82" s="204" t="str">
        <f t="shared" ref="S82" ca="1" si="139">M80&amp;"$"</f>
        <v>1$</v>
      </c>
      <c r="T82" s="205"/>
      <c r="U82" s="202" cm="1">
        <f t="array" aca="1" ref="U82" ca="1">IF($R80=2,
         IF(AND(ACOMPANHAMENTO="PLE",ISNUMBER($F80)),
                SUMIF((OFFSET(CÁLCULO!$AM$15:$AW$15,$F80,0,OFFSET(ORÇAMENTO!$D$15,CRONO!$F80,0))),CRONO!U$12,OFFSET(CÁLCULO!$AB$15:$AL$15,$F80,0,OFFSET(ORÇAMENTO!$D$15,CRONO!$F80,0)))
                +IF(AND($F82&lt;&gt;"",$F82&lt;&gt;0),
                        SUMIF(CÁLCULO!$AM$15:$AW$44,CRONO!U$12,CÁLCULO!$AB$15:$AL$44)/(ORÇAMENTO!$X$15-CÁLCULO.TotalAdmLocal)*CRONO!$F82,
                        0),
                 U81*$S80),
          SUMIF(OFFSET($S82,1,0,$R80-2),($M80+1)&amp;"$",OFFSET(U82,1,0,$R80-2)))</f>
        <v>0</v>
      </c>
      <c r="V82" s="202" cm="1">
        <f t="array" aca="1" ref="V82" ca="1">IF($R80=2,
         IF(AND(ACOMPANHAMENTO="PLE",ISNUMBER($F80)),
                SUMIF((OFFSET(CÁLCULO!$AM$15:$AW$15,$F80,0,OFFSET(ORÇAMENTO!$D$15,CRONO!$F80,0))),CRONO!V$12,OFFSET(CÁLCULO!$AB$15:$AL$15,$F80,0,OFFSET(ORÇAMENTO!$D$15,CRONO!$F80,0)))
                +IF(AND($F82&lt;&gt;"",$F82&lt;&gt;0),
                        SUMIF(CÁLCULO!$AM$15:$AW$44,CRONO!V$12,CÁLCULO!$AB$15:$AL$44)/(ORÇAMENTO!$X$15-CÁLCULO.TotalAdmLocal)*CRONO!$F82,
                        0),
                 V81*$S80),
          SUMIF(OFFSET($S82,1,0,$R80-2),($M80+1)&amp;"$",OFFSET(V82,1,0,$R80-2)))</f>
        <v>0</v>
      </c>
      <c r="W82" s="202" cm="1">
        <f t="array" aca="1" ref="W82" ca="1">IF($R80=2,
         IF(AND(ACOMPANHAMENTO="PLE",ISNUMBER($F80)),
                SUMIF((OFFSET(CÁLCULO!$AM$15:$AW$15,$F80,0,OFFSET(ORÇAMENTO!$D$15,CRONO!$F80,0))),CRONO!W$12,OFFSET(CÁLCULO!$AB$15:$AL$15,$F80,0,OFFSET(ORÇAMENTO!$D$15,CRONO!$F80,0)))
                +IF(AND($F82&lt;&gt;"",$F82&lt;&gt;0),
                        SUMIF(CÁLCULO!$AM$15:$AW$44,CRONO!W$12,CÁLCULO!$AB$15:$AL$44)/(ORÇAMENTO!$X$15-CÁLCULO.TotalAdmLocal)*CRONO!$F82,
                        0),
                 W81*$S80),
          SUMIF(OFFSET($S82,1,0,$R80-2),($M80+1)&amp;"$",OFFSET(W82,1,0,$R80-2)))</f>
        <v>0</v>
      </c>
      <c r="X82" s="202" cm="1">
        <f t="array" aca="1" ref="X82" ca="1">IF($R80=2,
         IF(AND(ACOMPANHAMENTO="PLE",ISNUMBER($F80)),
                SUMIF((OFFSET(CÁLCULO!$AM$15:$AW$15,$F80,0,OFFSET(ORÇAMENTO!$D$15,CRONO!$F80,0))),CRONO!X$12,OFFSET(CÁLCULO!$AB$15:$AL$15,$F80,0,OFFSET(ORÇAMENTO!$D$15,CRONO!$F80,0)))
                +IF(AND($F82&lt;&gt;"",$F82&lt;&gt;0),
                        SUMIF(CÁLCULO!$AM$15:$AW$44,CRONO!X$12,CÁLCULO!$AB$15:$AL$44)/(ORÇAMENTO!$X$15-CÁLCULO.TotalAdmLocal)*CRONO!$F82,
                        0),
                 X81*$S80),
          SUMIF(OFFSET($S82,1,0,$R80-2),($M80+1)&amp;"$",OFFSET(X82,1,0,$R80-2)))</f>
        <v>0</v>
      </c>
      <c r="Y82" s="202" cm="1">
        <f t="array" aca="1" ref="Y82" ca="1">IF($R80=2,
         IF(AND(ACOMPANHAMENTO="PLE",ISNUMBER($F80)),
                SUMIF((OFFSET(CÁLCULO!$AM$15:$AW$15,$F80,0,OFFSET(ORÇAMENTO!$D$15,CRONO!$F80,0))),CRONO!Y$12,OFFSET(CÁLCULO!$AB$15:$AL$15,$F80,0,OFFSET(ORÇAMENTO!$D$15,CRONO!$F80,0)))
                +IF(AND($F82&lt;&gt;"",$F82&lt;&gt;0),
                        SUMIF(CÁLCULO!$AM$15:$AW$44,CRONO!Y$12,CÁLCULO!$AB$15:$AL$44)/(ORÇAMENTO!$X$15-CÁLCULO.TotalAdmLocal)*CRONO!$F82,
                        0),
                 Y81*$S80),
          SUMIF(OFFSET($S82,1,0,$R80-2),($M80+1)&amp;"$",OFFSET(Y82,1,0,$R80-2)))</f>
        <v>0</v>
      </c>
      <c r="Z82" s="202" cm="1">
        <f t="array" aca="1" ref="Z82" ca="1">IF($R80=2,
         IF(AND(ACOMPANHAMENTO="PLE",ISNUMBER($F80)),
                SUMIF((OFFSET(CÁLCULO!$AM$15:$AW$15,$F80,0,OFFSET(ORÇAMENTO!$D$15,CRONO!$F80,0))),CRONO!Z$12,OFFSET(CÁLCULO!$AB$15:$AL$15,$F80,0,OFFSET(ORÇAMENTO!$D$15,CRONO!$F80,0)))
                +IF(AND($F82&lt;&gt;"",$F82&lt;&gt;0),
                        SUMIF(CÁLCULO!$AM$15:$AW$44,CRONO!Z$12,CÁLCULO!$AB$15:$AL$44)/(ORÇAMENTO!$X$15-CÁLCULO.TotalAdmLocal)*CRONO!$F82,
                        0),
                 Z81*$S80),
          SUMIF(OFFSET($S82,1,0,$R80-2),($M80+1)&amp;"$",OFFSET(Z82,1,0,$R80-2)))</f>
        <v>0</v>
      </c>
      <c r="AA82" s="202" cm="1">
        <f t="array" aca="1" ref="AA82" ca="1">IF($R80=2,
         IF(AND(ACOMPANHAMENTO="PLE",ISNUMBER($F80)),
                SUMIF((OFFSET(CÁLCULO!$AM$15:$AW$15,$F80,0,OFFSET(ORÇAMENTO!$D$15,CRONO!$F80,0))),CRONO!AA$12,OFFSET(CÁLCULO!$AB$15:$AL$15,$F80,0,OFFSET(ORÇAMENTO!$D$15,CRONO!$F80,0)))
                +IF(AND($F82&lt;&gt;"",$F82&lt;&gt;0),
                        SUMIF(CÁLCULO!$AM$15:$AW$44,CRONO!AA$12,CÁLCULO!$AB$15:$AL$44)/(ORÇAMENTO!$X$15-CÁLCULO.TotalAdmLocal)*CRONO!$F82,
                        0),
                 AA81*$S80),
          SUMIF(OFFSET($S82,1,0,$R80-2),($M80+1)&amp;"$",OFFSET(AA82,1,0,$R80-2)))</f>
        <v>0</v>
      </c>
      <c r="AB82" s="202" cm="1">
        <f t="array" aca="1" ref="AB82" ca="1">IF($R80=2,
         IF(AND(ACOMPANHAMENTO="PLE",ISNUMBER($F80)),
                SUMIF((OFFSET(CÁLCULO!$AM$15:$AW$15,$F80,0,OFFSET(ORÇAMENTO!$D$15,CRONO!$F80,0))),CRONO!AB$12,OFFSET(CÁLCULO!$AB$15:$AL$15,$F80,0,OFFSET(ORÇAMENTO!$D$15,CRONO!$F80,0)))
                +IF(AND($F82&lt;&gt;"",$F82&lt;&gt;0),
                        SUMIF(CÁLCULO!$AM$15:$AW$44,CRONO!AB$12,CÁLCULO!$AB$15:$AL$44)/(ORÇAMENTO!$X$15-CÁLCULO.TotalAdmLocal)*CRONO!$F82,
                        0),
                 AB81*$S80),
          SUMIF(OFFSET($S82,1,0,$R80-2),($M80+1)&amp;"$",OFFSET(AB82,1,0,$R80-2)))</f>
        <v>0</v>
      </c>
      <c r="AC82" s="202" cm="1">
        <f t="array" aca="1" ref="AC82" ca="1">IF($R80=2,
         IF(AND(ACOMPANHAMENTO="PLE",ISNUMBER($F80)),
                SUMIF((OFFSET(CÁLCULO!$AM$15:$AW$15,$F80,0,OFFSET(ORÇAMENTO!$D$15,CRONO!$F80,0))),CRONO!AC$12,OFFSET(CÁLCULO!$AB$15:$AL$15,$F80,0,OFFSET(ORÇAMENTO!$D$15,CRONO!$F80,0)))
                +IF(AND($F82&lt;&gt;"",$F82&lt;&gt;0),
                        SUMIF(CÁLCULO!$AM$15:$AW$44,CRONO!AC$12,CÁLCULO!$AB$15:$AL$44)/(ORÇAMENTO!$X$15-CÁLCULO.TotalAdmLocal)*CRONO!$F82,
                        0),
                 AC81*$S80),
          SUMIF(OFFSET($S82,1,0,$R80-2),($M80+1)&amp;"$",OFFSET(AC82,1,0,$R80-2)))</f>
        <v>0</v>
      </c>
      <c r="AD82" s="202" cm="1">
        <f t="array" aca="1" ref="AD82" ca="1">IF($R80=2,
         IF(AND(ACOMPANHAMENTO="PLE",ISNUMBER($F80)),
                SUMIF((OFFSET(CÁLCULO!$AM$15:$AW$15,$F80,0,OFFSET(ORÇAMENTO!$D$15,CRONO!$F80,0))),CRONO!AD$12,OFFSET(CÁLCULO!$AB$15:$AL$15,$F80,0,OFFSET(ORÇAMENTO!$D$15,CRONO!$F80,0)))
                +IF(AND($F82&lt;&gt;"",$F82&lt;&gt;0),
                        SUMIF(CÁLCULO!$AM$15:$AW$44,CRONO!AD$12,CÁLCULO!$AB$15:$AL$44)/(ORÇAMENTO!$X$15-CÁLCULO.TotalAdmLocal)*CRONO!$F82,
                        0),
                 AD81*$S80),
          SUMIF(OFFSET($S82,1,0,$R80-2),($M80+1)&amp;"$",OFFSET(AD82,1,0,$R80-2)))</f>
        <v>0</v>
      </c>
      <c r="AE82" s="202" cm="1">
        <f t="array" aca="1" ref="AE82" ca="1">IF($R80=2,
         IF(AND(ACOMPANHAMENTO="PLE",ISNUMBER($F80)),
                SUMIF((OFFSET(CÁLCULO!$AM$15:$AW$15,$F80,0,OFFSET(ORÇAMENTO!$D$15,CRONO!$F80,0))),CRONO!AE$12,OFFSET(CÁLCULO!$AB$15:$AL$15,$F80,0,OFFSET(ORÇAMENTO!$D$15,CRONO!$F80,0)))
                +IF(AND($F82&lt;&gt;"",$F82&lt;&gt;0),
                        SUMIF(CÁLCULO!$AM$15:$AW$44,CRONO!AE$12,CÁLCULO!$AB$15:$AL$44)/(ORÇAMENTO!$X$15-CÁLCULO.TotalAdmLocal)*CRONO!$F82,
                        0),
                 AE81*$S80),
          SUMIF(OFFSET($S82,1,0,$R80-2),($M80+1)&amp;"$",OFFSET(AE82,1,0,$R80-2)))</f>
        <v>0</v>
      </c>
      <c r="AF82" s="202" cm="1">
        <f t="array" aca="1" ref="AF82" ca="1">IF($R80=2,
         IF(AND(ACOMPANHAMENTO="PLE",ISNUMBER($F80)),
                SUMIF((OFFSET(CÁLCULO!$AM$15:$AW$15,$F80,0,OFFSET(ORÇAMENTO!$D$15,CRONO!$F80,0))),CRONO!AF$12,OFFSET(CÁLCULO!$AB$15:$AL$15,$F80,0,OFFSET(ORÇAMENTO!$D$15,CRONO!$F80,0)))
                +IF(AND($F82&lt;&gt;"",$F82&lt;&gt;0),
                        SUMIF(CÁLCULO!$AM$15:$AW$44,CRONO!AF$12,CÁLCULO!$AB$15:$AL$44)/(ORÇAMENTO!$X$15-CÁLCULO.TotalAdmLocal)*CRONO!$F82,
                        0),
                 AF81*$S80),
          SUMIF(OFFSET($S82,1,0,$R80-2),($M80+1)&amp;"$",OFFSET(AF82,1,0,$R80-2)))</f>
        <v>0</v>
      </c>
      <c r="AG82" s="534"/>
    </row>
    <row r="83" spans="1:33" x14ac:dyDescent="0.2">
      <c r="A83" s="186" t="str">
        <f t="shared" ref="A83" ca="1" si="140">IF($M83&gt;1,_xlfn.CONCAT($I83," ",$J83),"")</f>
        <v/>
      </c>
      <c r="B83" s="185">
        <f t="shared" ref="B83" ca="1" si="141">OFFSET(B83,-3,0)+1</f>
        <v>24</v>
      </c>
      <c r="C83" s="185">
        <f ca="1">IF($R83&lt;&gt;2,0,IF($S83=0,1,IF(F84&gt;0,OFFSET(QCI!$M$13,SUBSTITUTE(F84,".",""),0),OFFSET(ORÇAMENTO!$AA$15,CRONO!$F83,0))/$S83))</f>
        <v>0</v>
      </c>
      <c r="D83" s="185">
        <f ca="1">IF($R83&lt;&gt;2,0,IF($S83=0,1,IF(F84&gt;0,OFFSET(QCI!$N$13,SUBSTITUTE(F84,".",""),0),OFFSET(ORÇAMENTO!$AB$15,CRONO!$F83,0))/$S83))</f>
        <v>0</v>
      </c>
      <c r="E83" s="188" t="e" cm="1">
        <f t="array" aca="1" ref="E83" ca="1">IF(AND($R83=2,ACOMPANHAMENTO="BM"),ROUND(E84,4),E85/$S83)</f>
        <v>#VALUE!</v>
      </c>
      <c r="F83" s="185" t="e" cm="1">
        <f t="array" aca="1" ref="F83" ca="1">IF(B83&lt;=ORÇAMENTO.MáximoListaCrono,MATCH(B83,ORÇAMENTO.ListaCrono,0),NA())</f>
        <v>#N/A</v>
      </c>
      <c r="G83" s="185" t="str">
        <f t="shared" ref="G83" ca="1" si="142">IF(AND($F84&lt;&gt;-1,$S83&gt;0),"F","")</f>
        <v/>
      </c>
      <c r="H83" s="189" t="str" cm="1">
        <f t="array" aca="1" ref="H83" ca="1">IF(OR(S83=0,S83=""),"Linha",IF(AND(OR(ACOMPANHAMENTO="PLE",$R83&lt;&gt;2),$F84=0),"Linha",ROUND(1-SUM(U83:AG83),4)))</f>
        <v>Linha</v>
      </c>
      <c r="I83" s="190" t="str">
        <f ca="1">IF($F84=0,OFFSET(ORÇAMENTO!O$15,$F83,0),IF($F84&lt;&gt;-1,OFFSET(QCI!$D$13,$F84,0),""))</f>
        <v/>
      </c>
      <c r="J83" s="191" t="str">
        <f ca="1">IF($F84=0,OFFSET(ORÇAMENTO!R$15,$F83,0),IF($F84&lt;&gt;-1,OFFSET(QCI!$G$13,$F84,0),""))</f>
        <v/>
      </c>
      <c r="K83" s="191"/>
      <c r="L83" s="191"/>
      <c r="M83" s="192">
        <f ca="1">IF($F84=0,OFFSET(ORÇAMENTO!C$15,$F83,0),1)</f>
        <v>1</v>
      </c>
      <c r="N83" s="193">
        <f ca="1">IF($F84=-1,0,IF(N$13&lt;=$M83,IF(ISERROR(MATCH(N$13,OFFSET($M83,1,0,ROW($M$164)-ROW($M83)-1),0)),ROW($M$164)-ROW($M83)-1,MATCH(N$13,OFFSET($M83,1,0,ROW($M$164)-ROW($M83)-1),0)-1),0))</f>
        <v>0</v>
      </c>
      <c r="O83" s="193">
        <f ca="1">IF($F84=-1,0,IF(O$13&lt;=$M83,IF(ISERROR(MATCH(O$13,OFFSET($M83,1,0,ROW($M$164)-ROW($M83)-1),0)),ROW($M$164)-ROW($M83)-1,MATCH(O$13,OFFSET($M83,1,0,ROW($M$164)-ROW($M83)-1),0)-1),0))</f>
        <v>0</v>
      </c>
      <c r="P83" s="193">
        <f ca="1">IF($F84=-1,0,IF(P$13&lt;=$M83,IF(ISERROR(MATCH(P$13,OFFSET($M83,1,0,ROW($M$164)-ROW($M83)-1),0)),ROW($M$164)-ROW($M83)-1,MATCH(P$13,OFFSET($M83,1,0,ROW($M$164)-ROW($M83)-1),0)-1),0))</f>
        <v>0</v>
      </c>
      <c r="Q83" s="193">
        <f ca="1">IF($F84=-1,0,IF(Q$13&lt;=$M83,IF(ISERROR(MATCH(Q$13,OFFSET($M83,1,0,ROW($M$164)-ROW($M83)-1),0)),ROW($M$164)-ROW($M83)-1,MATCH(Q$13,OFFSET($M83,1,0,ROW($M$164)-ROW($M83)-1),0)-1),0))</f>
        <v>0</v>
      </c>
      <c r="R83" s="193">
        <f t="shared" ref="R83" ca="1" si="143">MIN(OFFSET(M83,0,1,,M83))</f>
        <v>0</v>
      </c>
      <c r="S83" s="194" t="str">
        <f ca="1">IF($F84=0,OFFSET(ORÇAMENTO!X$15,$F83,0),IF($F84&lt;&gt;-1,OFFSET(QCI!$O$13,$F84,0),""))</f>
        <v/>
      </c>
      <c r="T83" s="195" t="s">
        <v>785</v>
      </c>
      <c r="U83" s="188" t="e" cm="1">
        <f t="array" aca="1" ref="U83" ca="1">IF(AND($R83=2,ACOMPANHAMENTO="BM"),ROUND(U84,4),U85/$S83)</f>
        <v>#VALUE!</v>
      </c>
      <c r="V83" s="188" t="e" cm="1">
        <f t="array" aca="1" ref="V83" ca="1">IF(AND($R83=2,ACOMPANHAMENTO="BM"),ROUND(V84,4),V85/$S83)</f>
        <v>#VALUE!</v>
      </c>
      <c r="W83" s="188" t="e" cm="1">
        <f t="array" aca="1" ref="W83" ca="1">IF(AND($R83=2,ACOMPANHAMENTO="BM"),ROUND(W84,4),W85/$S83)</f>
        <v>#VALUE!</v>
      </c>
      <c r="X83" s="188" t="e" cm="1">
        <f t="array" aca="1" ref="X83" ca="1">IF(AND($R83=2,ACOMPANHAMENTO="BM"),ROUND(X84,4),X85/$S83)</f>
        <v>#VALUE!</v>
      </c>
      <c r="Y83" s="188" t="e" cm="1">
        <f t="array" aca="1" ref="Y83" ca="1">IF(AND($R83=2,ACOMPANHAMENTO="BM"),ROUND(Y84,4),Y85/$S83)</f>
        <v>#VALUE!</v>
      </c>
      <c r="Z83" s="188" t="e" cm="1">
        <f t="array" aca="1" ref="Z83" ca="1">IF(AND($R83=2,ACOMPANHAMENTO="BM"),ROUND(Z84,4),Z85/$S83)</f>
        <v>#VALUE!</v>
      </c>
      <c r="AA83" s="188" t="e" cm="1">
        <f t="array" aca="1" ref="AA83" ca="1">IF(AND($R83=2,ACOMPANHAMENTO="BM"),ROUND(AA84,4),AA85/$S83)</f>
        <v>#VALUE!</v>
      </c>
      <c r="AB83" s="188" t="e" cm="1">
        <f t="array" aca="1" ref="AB83" ca="1">IF(AND($R83=2,ACOMPANHAMENTO="BM"),ROUND(AB84,4),AB85/$S83)</f>
        <v>#VALUE!</v>
      </c>
      <c r="AC83" s="188" t="e" cm="1">
        <f t="array" aca="1" ref="AC83" ca="1">IF(AND($R83=2,ACOMPANHAMENTO="BM"),ROUND(AC84,4),AC85/$S83)</f>
        <v>#VALUE!</v>
      </c>
      <c r="AD83" s="188" t="e" cm="1">
        <f t="array" aca="1" ref="AD83" ca="1">IF(AND($R83=2,ACOMPANHAMENTO="BM"),ROUND(AD84,4),AD85/$S83)</f>
        <v>#VALUE!</v>
      </c>
      <c r="AE83" s="188" t="e" cm="1">
        <f t="array" aca="1" ref="AE83" ca="1">IF(AND($R83=2,ACOMPANHAMENTO="BM"),ROUND(AE84,4),AE85/$S83)</f>
        <v>#VALUE!</v>
      </c>
      <c r="AF83" s="188" t="e" cm="1">
        <f t="array" aca="1" ref="AF83" ca="1">IF(AND($R83=2,ACOMPANHAMENTO="BM"),ROUND(AF84,4),AF85/$S83)</f>
        <v>#VALUE!</v>
      </c>
      <c r="AG83" s="534"/>
    </row>
    <row r="84" spans="1:33" ht="12.75" customHeight="1" x14ac:dyDescent="0.2">
      <c r="E84" s="587"/>
      <c r="F84" s="185">
        <f ca="1">IF(ISERROR(F83),IF(1+COUNTIF($M$13:OFFSET(M83,-1,0),1)&lt;=MAX(QCI!$D$13:$D$24),1+COUNTIF($M$13:OFFSET(M83,-1,0),1),-1),0)</f>
        <v>-1</v>
      </c>
      <c r="G84" s="185" t="str" cm="1">
        <f t="array" aca="1" ref="G84" ca="1">IF(ACOMPANHAMENTO="BM",OFFSET(G84,-1,0),"")</f>
        <v/>
      </c>
      <c r="H84" s="196" t="str" cm="1">
        <f t="array" aca="1" ref="H84" ca="1">IF(OR(S83=0,S83=""),"vazia",IF(AND(OR(ACOMPANHAMENTO="PLE",$R83&lt;&gt;2),$F84=0),"calculada","--&gt;"))</f>
        <v>vazia</v>
      </c>
      <c r="I84" s="197"/>
      <c r="J84" s="198" t="str">
        <f t="shared" ref="J84" ca="1" si="144">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34"/>
    </row>
    <row r="85" spans="1:33" ht="12.75" customHeight="1" x14ac:dyDescent="0.2">
      <c r="D85" s="533"/>
      <c r="E85" s="202" cm="1">
        <f t="array" aca="1" ref="E85" ca="1">IF($R83=2,
         IF(AND(ACOMPANHAMENTO="PLE",ISNUMBER($F83)),
                SUMIF((OFFSET(CÁLCULO!$AM$15:$AW$15,$F83,0,OFFSET(ORÇAMENTO!$D$15,CRONO!$F83,0))),CRONO!E$12,OFFSET(CÁLCULO!$AB$15:$AL$15,$F83,0,OFFSET(ORÇAMENTO!$D$15,CRONO!$F83,0)))
                +IF(AND($F85&lt;&gt;"",$F85&lt;&gt;0),
                        SUMIF(CÁLCULO!$AM$15:$AW$44,CRONO!E$12,CÁLCULO!$AB$15:$AL$44)/(ORÇAMENTO!$X$15-CÁLCULO.TotalAdmLocal)*CRONO!$F85,
                        0),
                 E84*$S83),
          SUMIF(OFFSET($S85,1,0,$R83-2),($M83+1)&amp;"$",OFFSET(E85,1,0,$R83-2)))</f>
        <v>0</v>
      </c>
      <c r="F85" s="185" t="str">
        <f ca="1">IF(OR($R83&lt;&gt;2,AUTOEVENTO&lt;&gt;"manual",$F84&gt;0),"",
        IF(Import.TipoArredondamento="Tradicional",
              SUMIF(OFFSET(CÁLCULO!$M$15,CRONO!$F83,0,OFFSET(ORÇAMENTO!$D$15,CRONO!$F83,0)),1,OFFSET(ORÇAMENTO!$X$15,CRONO!$F83,0,OFFSET(ORÇAMENTO!$D$15,CRONO!$F83,0))),
              0))</f>
        <v/>
      </c>
      <c r="H85" s="203"/>
      <c r="S85" s="204" t="str">
        <f t="shared" ref="S85" ca="1" si="145">M83&amp;"$"</f>
        <v>1$</v>
      </c>
      <c r="T85" s="205"/>
      <c r="U85" s="202" cm="1">
        <f t="array" aca="1" ref="U85" ca="1">IF($R83=2,
         IF(AND(ACOMPANHAMENTO="PLE",ISNUMBER($F83)),
                SUMIF((OFFSET(CÁLCULO!$AM$15:$AW$15,$F83,0,OFFSET(ORÇAMENTO!$D$15,CRONO!$F83,0))),CRONO!U$12,OFFSET(CÁLCULO!$AB$15:$AL$15,$F83,0,OFFSET(ORÇAMENTO!$D$15,CRONO!$F83,0)))
                +IF(AND($F85&lt;&gt;"",$F85&lt;&gt;0),
                        SUMIF(CÁLCULO!$AM$15:$AW$44,CRONO!U$12,CÁLCULO!$AB$15:$AL$44)/(ORÇAMENTO!$X$15-CÁLCULO.TotalAdmLocal)*CRONO!$F85,
                        0),
                 U84*$S83),
          SUMIF(OFFSET($S85,1,0,$R83-2),($M83+1)&amp;"$",OFFSET(U85,1,0,$R83-2)))</f>
        <v>0</v>
      </c>
      <c r="V85" s="202" cm="1">
        <f t="array" aca="1" ref="V85" ca="1">IF($R83=2,
         IF(AND(ACOMPANHAMENTO="PLE",ISNUMBER($F83)),
                SUMIF((OFFSET(CÁLCULO!$AM$15:$AW$15,$F83,0,OFFSET(ORÇAMENTO!$D$15,CRONO!$F83,0))),CRONO!V$12,OFFSET(CÁLCULO!$AB$15:$AL$15,$F83,0,OFFSET(ORÇAMENTO!$D$15,CRONO!$F83,0)))
                +IF(AND($F85&lt;&gt;"",$F85&lt;&gt;0),
                        SUMIF(CÁLCULO!$AM$15:$AW$44,CRONO!V$12,CÁLCULO!$AB$15:$AL$44)/(ORÇAMENTO!$X$15-CÁLCULO.TotalAdmLocal)*CRONO!$F85,
                        0),
                 V84*$S83),
          SUMIF(OFFSET($S85,1,0,$R83-2),($M83+1)&amp;"$",OFFSET(V85,1,0,$R83-2)))</f>
        <v>0</v>
      </c>
      <c r="W85" s="202" cm="1">
        <f t="array" aca="1" ref="W85" ca="1">IF($R83=2,
         IF(AND(ACOMPANHAMENTO="PLE",ISNUMBER($F83)),
                SUMIF((OFFSET(CÁLCULO!$AM$15:$AW$15,$F83,0,OFFSET(ORÇAMENTO!$D$15,CRONO!$F83,0))),CRONO!W$12,OFFSET(CÁLCULO!$AB$15:$AL$15,$F83,0,OFFSET(ORÇAMENTO!$D$15,CRONO!$F83,0)))
                +IF(AND($F85&lt;&gt;"",$F85&lt;&gt;0),
                        SUMIF(CÁLCULO!$AM$15:$AW$44,CRONO!W$12,CÁLCULO!$AB$15:$AL$44)/(ORÇAMENTO!$X$15-CÁLCULO.TotalAdmLocal)*CRONO!$F85,
                        0),
                 W84*$S83),
          SUMIF(OFFSET($S85,1,0,$R83-2),($M83+1)&amp;"$",OFFSET(W85,1,0,$R83-2)))</f>
        <v>0</v>
      </c>
      <c r="X85" s="202" cm="1">
        <f t="array" aca="1" ref="X85" ca="1">IF($R83=2,
         IF(AND(ACOMPANHAMENTO="PLE",ISNUMBER($F83)),
                SUMIF((OFFSET(CÁLCULO!$AM$15:$AW$15,$F83,0,OFFSET(ORÇAMENTO!$D$15,CRONO!$F83,0))),CRONO!X$12,OFFSET(CÁLCULO!$AB$15:$AL$15,$F83,0,OFFSET(ORÇAMENTO!$D$15,CRONO!$F83,0)))
                +IF(AND($F85&lt;&gt;"",$F85&lt;&gt;0),
                        SUMIF(CÁLCULO!$AM$15:$AW$44,CRONO!X$12,CÁLCULO!$AB$15:$AL$44)/(ORÇAMENTO!$X$15-CÁLCULO.TotalAdmLocal)*CRONO!$F85,
                        0),
                 X84*$S83),
          SUMIF(OFFSET($S85,1,0,$R83-2),($M83+1)&amp;"$",OFFSET(X85,1,0,$R83-2)))</f>
        <v>0</v>
      </c>
      <c r="Y85" s="202" cm="1">
        <f t="array" aca="1" ref="Y85" ca="1">IF($R83=2,
         IF(AND(ACOMPANHAMENTO="PLE",ISNUMBER($F83)),
                SUMIF((OFFSET(CÁLCULO!$AM$15:$AW$15,$F83,0,OFFSET(ORÇAMENTO!$D$15,CRONO!$F83,0))),CRONO!Y$12,OFFSET(CÁLCULO!$AB$15:$AL$15,$F83,0,OFFSET(ORÇAMENTO!$D$15,CRONO!$F83,0)))
                +IF(AND($F85&lt;&gt;"",$F85&lt;&gt;0),
                        SUMIF(CÁLCULO!$AM$15:$AW$44,CRONO!Y$12,CÁLCULO!$AB$15:$AL$44)/(ORÇAMENTO!$X$15-CÁLCULO.TotalAdmLocal)*CRONO!$F85,
                        0),
                 Y84*$S83),
          SUMIF(OFFSET($S85,1,0,$R83-2),($M83+1)&amp;"$",OFFSET(Y85,1,0,$R83-2)))</f>
        <v>0</v>
      </c>
      <c r="Z85" s="202" cm="1">
        <f t="array" aca="1" ref="Z85" ca="1">IF($R83=2,
         IF(AND(ACOMPANHAMENTO="PLE",ISNUMBER($F83)),
                SUMIF((OFFSET(CÁLCULO!$AM$15:$AW$15,$F83,0,OFFSET(ORÇAMENTO!$D$15,CRONO!$F83,0))),CRONO!Z$12,OFFSET(CÁLCULO!$AB$15:$AL$15,$F83,0,OFFSET(ORÇAMENTO!$D$15,CRONO!$F83,0)))
                +IF(AND($F85&lt;&gt;"",$F85&lt;&gt;0),
                        SUMIF(CÁLCULO!$AM$15:$AW$44,CRONO!Z$12,CÁLCULO!$AB$15:$AL$44)/(ORÇAMENTO!$X$15-CÁLCULO.TotalAdmLocal)*CRONO!$F85,
                        0),
                 Z84*$S83),
          SUMIF(OFFSET($S85,1,0,$R83-2),($M83+1)&amp;"$",OFFSET(Z85,1,0,$R83-2)))</f>
        <v>0</v>
      </c>
      <c r="AA85" s="202" cm="1">
        <f t="array" aca="1" ref="AA85" ca="1">IF($R83=2,
         IF(AND(ACOMPANHAMENTO="PLE",ISNUMBER($F83)),
                SUMIF((OFFSET(CÁLCULO!$AM$15:$AW$15,$F83,0,OFFSET(ORÇAMENTO!$D$15,CRONO!$F83,0))),CRONO!AA$12,OFFSET(CÁLCULO!$AB$15:$AL$15,$F83,0,OFFSET(ORÇAMENTO!$D$15,CRONO!$F83,0)))
                +IF(AND($F85&lt;&gt;"",$F85&lt;&gt;0),
                        SUMIF(CÁLCULO!$AM$15:$AW$44,CRONO!AA$12,CÁLCULO!$AB$15:$AL$44)/(ORÇAMENTO!$X$15-CÁLCULO.TotalAdmLocal)*CRONO!$F85,
                        0),
                 AA84*$S83),
          SUMIF(OFFSET($S85,1,0,$R83-2),($M83+1)&amp;"$",OFFSET(AA85,1,0,$R83-2)))</f>
        <v>0</v>
      </c>
      <c r="AB85" s="202" cm="1">
        <f t="array" aca="1" ref="AB85" ca="1">IF($R83=2,
         IF(AND(ACOMPANHAMENTO="PLE",ISNUMBER($F83)),
                SUMIF((OFFSET(CÁLCULO!$AM$15:$AW$15,$F83,0,OFFSET(ORÇAMENTO!$D$15,CRONO!$F83,0))),CRONO!AB$12,OFFSET(CÁLCULO!$AB$15:$AL$15,$F83,0,OFFSET(ORÇAMENTO!$D$15,CRONO!$F83,0)))
                +IF(AND($F85&lt;&gt;"",$F85&lt;&gt;0),
                        SUMIF(CÁLCULO!$AM$15:$AW$44,CRONO!AB$12,CÁLCULO!$AB$15:$AL$44)/(ORÇAMENTO!$X$15-CÁLCULO.TotalAdmLocal)*CRONO!$F85,
                        0),
                 AB84*$S83),
          SUMIF(OFFSET($S85,1,0,$R83-2),($M83+1)&amp;"$",OFFSET(AB85,1,0,$R83-2)))</f>
        <v>0</v>
      </c>
      <c r="AC85" s="202" cm="1">
        <f t="array" aca="1" ref="AC85" ca="1">IF($R83=2,
         IF(AND(ACOMPANHAMENTO="PLE",ISNUMBER($F83)),
                SUMIF((OFFSET(CÁLCULO!$AM$15:$AW$15,$F83,0,OFFSET(ORÇAMENTO!$D$15,CRONO!$F83,0))),CRONO!AC$12,OFFSET(CÁLCULO!$AB$15:$AL$15,$F83,0,OFFSET(ORÇAMENTO!$D$15,CRONO!$F83,0)))
                +IF(AND($F85&lt;&gt;"",$F85&lt;&gt;0),
                        SUMIF(CÁLCULO!$AM$15:$AW$44,CRONO!AC$12,CÁLCULO!$AB$15:$AL$44)/(ORÇAMENTO!$X$15-CÁLCULO.TotalAdmLocal)*CRONO!$F85,
                        0),
                 AC84*$S83),
          SUMIF(OFFSET($S85,1,0,$R83-2),($M83+1)&amp;"$",OFFSET(AC85,1,0,$R83-2)))</f>
        <v>0</v>
      </c>
      <c r="AD85" s="202" cm="1">
        <f t="array" aca="1" ref="AD85" ca="1">IF($R83=2,
         IF(AND(ACOMPANHAMENTO="PLE",ISNUMBER($F83)),
                SUMIF((OFFSET(CÁLCULO!$AM$15:$AW$15,$F83,0,OFFSET(ORÇAMENTO!$D$15,CRONO!$F83,0))),CRONO!AD$12,OFFSET(CÁLCULO!$AB$15:$AL$15,$F83,0,OFFSET(ORÇAMENTO!$D$15,CRONO!$F83,0)))
                +IF(AND($F85&lt;&gt;"",$F85&lt;&gt;0),
                        SUMIF(CÁLCULO!$AM$15:$AW$44,CRONO!AD$12,CÁLCULO!$AB$15:$AL$44)/(ORÇAMENTO!$X$15-CÁLCULO.TotalAdmLocal)*CRONO!$F85,
                        0),
                 AD84*$S83),
          SUMIF(OFFSET($S85,1,0,$R83-2),($M83+1)&amp;"$",OFFSET(AD85,1,0,$R83-2)))</f>
        <v>0</v>
      </c>
      <c r="AE85" s="202" cm="1">
        <f t="array" aca="1" ref="AE85" ca="1">IF($R83=2,
         IF(AND(ACOMPANHAMENTO="PLE",ISNUMBER($F83)),
                SUMIF((OFFSET(CÁLCULO!$AM$15:$AW$15,$F83,0,OFFSET(ORÇAMENTO!$D$15,CRONO!$F83,0))),CRONO!AE$12,OFFSET(CÁLCULO!$AB$15:$AL$15,$F83,0,OFFSET(ORÇAMENTO!$D$15,CRONO!$F83,0)))
                +IF(AND($F85&lt;&gt;"",$F85&lt;&gt;0),
                        SUMIF(CÁLCULO!$AM$15:$AW$44,CRONO!AE$12,CÁLCULO!$AB$15:$AL$44)/(ORÇAMENTO!$X$15-CÁLCULO.TotalAdmLocal)*CRONO!$F85,
                        0),
                 AE84*$S83),
          SUMIF(OFFSET($S85,1,0,$R83-2),($M83+1)&amp;"$",OFFSET(AE85,1,0,$R83-2)))</f>
        <v>0</v>
      </c>
      <c r="AF85" s="202" cm="1">
        <f t="array" aca="1" ref="AF85" ca="1">IF($R83=2,
         IF(AND(ACOMPANHAMENTO="PLE",ISNUMBER($F83)),
                SUMIF((OFFSET(CÁLCULO!$AM$15:$AW$15,$F83,0,OFFSET(ORÇAMENTO!$D$15,CRONO!$F83,0))),CRONO!AF$12,OFFSET(CÁLCULO!$AB$15:$AL$15,$F83,0,OFFSET(ORÇAMENTO!$D$15,CRONO!$F83,0)))
                +IF(AND($F85&lt;&gt;"",$F85&lt;&gt;0),
                        SUMIF(CÁLCULO!$AM$15:$AW$44,CRONO!AF$12,CÁLCULO!$AB$15:$AL$44)/(ORÇAMENTO!$X$15-CÁLCULO.TotalAdmLocal)*CRONO!$F85,
                        0),
                 AF84*$S83),
          SUMIF(OFFSET($S85,1,0,$R83-2),($M83+1)&amp;"$",OFFSET(AF85,1,0,$R83-2)))</f>
        <v>0</v>
      </c>
      <c r="AG85" s="534"/>
    </row>
    <row r="86" spans="1:33" x14ac:dyDescent="0.2">
      <c r="A86" s="186" t="str">
        <f t="shared" ref="A86" ca="1" si="146">IF($M86&gt;1,_xlfn.CONCAT($I86," ",$J86),"")</f>
        <v/>
      </c>
      <c r="B86" s="185">
        <f t="shared" ref="B86" ca="1" si="147">OFFSET(B86,-3,0)+1</f>
        <v>25</v>
      </c>
      <c r="C86" s="185">
        <f ca="1">IF($R86&lt;&gt;2,0,IF($S86=0,1,IF(F87&gt;0,OFFSET(QCI!$M$13,SUBSTITUTE(F87,".",""),0),OFFSET(ORÇAMENTO!$AA$15,CRONO!$F86,0))/$S86))</f>
        <v>0</v>
      </c>
      <c r="D86" s="185">
        <f ca="1">IF($R86&lt;&gt;2,0,IF($S86=0,1,IF(F87&gt;0,OFFSET(QCI!$N$13,SUBSTITUTE(F87,".",""),0),OFFSET(ORÇAMENTO!$AB$15,CRONO!$F86,0))/$S86))</f>
        <v>0</v>
      </c>
      <c r="E86" s="188" t="e" cm="1">
        <f t="array" aca="1" ref="E86" ca="1">IF(AND($R86=2,ACOMPANHAMENTO="BM"),ROUND(E87,4),E88/$S86)</f>
        <v>#VALUE!</v>
      </c>
      <c r="F86" s="185" t="e" cm="1">
        <f t="array" aca="1" ref="F86" ca="1">IF(B86&lt;=ORÇAMENTO.MáximoListaCrono,MATCH(B86,ORÇAMENTO.ListaCrono,0),NA())</f>
        <v>#N/A</v>
      </c>
      <c r="G86" s="185" t="str">
        <f t="shared" ref="G86" ca="1" si="148">IF(AND($F87&lt;&gt;-1,$S86&gt;0),"F","")</f>
        <v/>
      </c>
      <c r="H86" s="189" t="str" cm="1">
        <f t="array" aca="1" ref="H86" ca="1">IF(OR(S86=0,S86=""),"Linha",IF(AND(OR(ACOMPANHAMENTO="PLE",$R86&lt;&gt;2),$F87=0),"Linha",ROUND(1-SUM(U86:AG86),4)))</f>
        <v>Linha</v>
      </c>
      <c r="I86" s="190" t="str">
        <f ca="1">IF($F87=0,OFFSET(ORÇAMENTO!O$15,$F86,0),IF($F87&lt;&gt;-1,OFFSET(QCI!$D$13,$F87,0),""))</f>
        <v/>
      </c>
      <c r="J86" s="191" t="str">
        <f ca="1">IF($F87=0,OFFSET(ORÇAMENTO!R$15,$F86,0),IF($F87&lt;&gt;-1,OFFSET(QCI!$G$13,$F87,0),""))</f>
        <v/>
      </c>
      <c r="K86" s="191"/>
      <c r="L86" s="191"/>
      <c r="M86" s="192">
        <f ca="1">IF($F87=0,OFFSET(ORÇAMENTO!C$15,$F86,0),1)</f>
        <v>1</v>
      </c>
      <c r="N86" s="193">
        <f ca="1">IF($F87=-1,0,IF(N$13&lt;=$M86,IF(ISERROR(MATCH(N$13,OFFSET($M86,1,0,ROW($M$164)-ROW($M86)-1),0)),ROW($M$164)-ROW($M86)-1,MATCH(N$13,OFFSET($M86,1,0,ROW($M$164)-ROW($M86)-1),0)-1),0))</f>
        <v>0</v>
      </c>
      <c r="O86" s="193">
        <f ca="1">IF($F87=-1,0,IF(O$13&lt;=$M86,IF(ISERROR(MATCH(O$13,OFFSET($M86,1,0,ROW($M$164)-ROW($M86)-1),0)),ROW($M$164)-ROW($M86)-1,MATCH(O$13,OFFSET($M86,1,0,ROW($M$164)-ROW($M86)-1),0)-1),0))</f>
        <v>0</v>
      </c>
      <c r="P86" s="193">
        <f ca="1">IF($F87=-1,0,IF(P$13&lt;=$M86,IF(ISERROR(MATCH(P$13,OFFSET($M86,1,0,ROW($M$164)-ROW($M86)-1),0)),ROW($M$164)-ROW($M86)-1,MATCH(P$13,OFFSET($M86,1,0,ROW($M$164)-ROW($M86)-1),0)-1),0))</f>
        <v>0</v>
      </c>
      <c r="Q86" s="193">
        <f ca="1">IF($F87=-1,0,IF(Q$13&lt;=$M86,IF(ISERROR(MATCH(Q$13,OFFSET($M86,1,0,ROW($M$164)-ROW($M86)-1),0)),ROW($M$164)-ROW($M86)-1,MATCH(Q$13,OFFSET($M86,1,0,ROW($M$164)-ROW($M86)-1),0)-1),0))</f>
        <v>0</v>
      </c>
      <c r="R86" s="193">
        <f t="shared" ref="R86" ca="1" si="149">MIN(OFFSET(M86,0,1,,M86))</f>
        <v>0</v>
      </c>
      <c r="S86" s="194" t="str">
        <f ca="1">IF($F87=0,OFFSET(ORÇAMENTO!X$15,$F86,0),IF($F87&lt;&gt;-1,OFFSET(QCI!$O$13,$F87,0),""))</f>
        <v/>
      </c>
      <c r="T86" s="195" t="s">
        <v>785</v>
      </c>
      <c r="U86" s="188" t="e" cm="1">
        <f t="array" aca="1" ref="U86" ca="1">IF(AND($R86=2,ACOMPANHAMENTO="BM"),ROUND(U87,4),U88/$S86)</f>
        <v>#VALUE!</v>
      </c>
      <c r="V86" s="188" t="e" cm="1">
        <f t="array" aca="1" ref="V86" ca="1">IF(AND($R86=2,ACOMPANHAMENTO="BM"),ROUND(V87,4),V88/$S86)</f>
        <v>#VALUE!</v>
      </c>
      <c r="W86" s="188" t="e" cm="1">
        <f t="array" aca="1" ref="W86" ca="1">IF(AND($R86=2,ACOMPANHAMENTO="BM"),ROUND(W87,4),W88/$S86)</f>
        <v>#VALUE!</v>
      </c>
      <c r="X86" s="188" t="e" cm="1">
        <f t="array" aca="1" ref="X86" ca="1">IF(AND($R86=2,ACOMPANHAMENTO="BM"),ROUND(X87,4),X88/$S86)</f>
        <v>#VALUE!</v>
      </c>
      <c r="Y86" s="188" t="e" cm="1">
        <f t="array" aca="1" ref="Y86" ca="1">IF(AND($R86=2,ACOMPANHAMENTO="BM"),ROUND(Y87,4),Y88/$S86)</f>
        <v>#VALUE!</v>
      </c>
      <c r="Z86" s="188" t="e" cm="1">
        <f t="array" aca="1" ref="Z86" ca="1">IF(AND($R86=2,ACOMPANHAMENTO="BM"),ROUND(Z87,4),Z88/$S86)</f>
        <v>#VALUE!</v>
      </c>
      <c r="AA86" s="188" t="e" cm="1">
        <f t="array" aca="1" ref="AA86" ca="1">IF(AND($R86=2,ACOMPANHAMENTO="BM"),ROUND(AA87,4),AA88/$S86)</f>
        <v>#VALUE!</v>
      </c>
      <c r="AB86" s="188" t="e" cm="1">
        <f t="array" aca="1" ref="AB86" ca="1">IF(AND($R86=2,ACOMPANHAMENTO="BM"),ROUND(AB87,4),AB88/$S86)</f>
        <v>#VALUE!</v>
      </c>
      <c r="AC86" s="188" t="e" cm="1">
        <f t="array" aca="1" ref="AC86" ca="1">IF(AND($R86=2,ACOMPANHAMENTO="BM"),ROUND(AC87,4),AC88/$S86)</f>
        <v>#VALUE!</v>
      </c>
      <c r="AD86" s="188" t="e" cm="1">
        <f t="array" aca="1" ref="AD86" ca="1">IF(AND($R86=2,ACOMPANHAMENTO="BM"),ROUND(AD87,4),AD88/$S86)</f>
        <v>#VALUE!</v>
      </c>
      <c r="AE86" s="188" t="e" cm="1">
        <f t="array" aca="1" ref="AE86" ca="1">IF(AND($R86=2,ACOMPANHAMENTO="BM"),ROUND(AE87,4),AE88/$S86)</f>
        <v>#VALUE!</v>
      </c>
      <c r="AF86" s="188" t="e" cm="1">
        <f t="array" aca="1" ref="AF86" ca="1">IF(AND($R86=2,ACOMPANHAMENTO="BM"),ROUND(AF87,4),AF88/$S86)</f>
        <v>#VALUE!</v>
      </c>
      <c r="AG86" s="534"/>
    </row>
    <row r="87" spans="1:33" ht="12.75" customHeight="1" x14ac:dyDescent="0.2">
      <c r="E87" s="587"/>
      <c r="F87" s="185">
        <f ca="1">IF(ISERROR(F86),IF(1+COUNTIF($M$13:OFFSET(M86,-1,0),1)&lt;=MAX(QCI!$D$13:$D$24),1+COUNTIF($M$13:OFFSET(M86,-1,0),1),-1),0)</f>
        <v>-1</v>
      </c>
      <c r="G87" s="185" t="str" cm="1">
        <f t="array" aca="1" ref="G87" ca="1">IF(ACOMPANHAMENTO="BM",OFFSET(G87,-1,0),"")</f>
        <v/>
      </c>
      <c r="H87" s="196" t="str" cm="1">
        <f t="array" aca="1" ref="H87" ca="1">IF(OR(S86=0,S86=""),"vazia",IF(AND(OR(ACOMPANHAMENTO="PLE",$R86&lt;&gt;2),$F87=0),"calculada","--&gt;"))</f>
        <v>vazia</v>
      </c>
      <c r="I87" s="197"/>
      <c r="J87" s="198" t="str">
        <f t="shared" ref="J87" ca="1" si="150">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34"/>
    </row>
    <row r="88" spans="1:33" ht="12.75" customHeight="1" x14ac:dyDescent="0.2">
      <c r="D88" s="533"/>
      <c r="E88" s="202" cm="1">
        <f t="array" aca="1" ref="E88" ca="1">IF($R86=2,
         IF(AND(ACOMPANHAMENTO="PLE",ISNUMBER($F86)),
                SUMIF((OFFSET(CÁLCULO!$AM$15:$AW$15,$F86,0,OFFSET(ORÇAMENTO!$D$15,CRONO!$F86,0))),CRONO!E$12,OFFSET(CÁLCULO!$AB$15:$AL$15,$F86,0,OFFSET(ORÇAMENTO!$D$15,CRONO!$F86,0)))
                +IF(AND($F88&lt;&gt;"",$F88&lt;&gt;0),
                        SUMIF(CÁLCULO!$AM$15:$AW$44,CRONO!E$12,CÁLCULO!$AB$15:$AL$44)/(ORÇAMENTO!$X$15-CÁLCULO.TotalAdmLocal)*CRONO!$F88,
                        0),
                 E87*$S86),
          SUMIF(OFFSET($S88,1,0,$R86-2),($M86+1)&amp;"$",OFFSET(E88,1,0,$R86-2)))</f>
        <v>0</v>
      </c>
      <c r="F88" s="185" t="str">
        <f ca="1">IF(OR($R86&lt;&gt;2,AUTOEVENTO&lt;&gt;"manual",$F87&gt;0),"",
        IF(Import.TipoArredondamento="Tradicional",
              SUMIF(OFFSET(CÁLCULO!$M$15,CRONO!$F86,0,OFFSET(ORÇAMENTO!$D$15,CRONO!$F86,0)),1,OFFSET(ORÇAMENTO!$X$15,CRONO!$F86,0,OFFSET(ORÇAMENTO!$D$15,CRONO!$F86,0))),
              0))</f>
        <v/>
      </c>
      <c r="H88" s="203"/>
      <c r="S88" s="204" t="str">
        <f t="shared" ref="S88" ca="1" si="151">M86&amp;"$"</f>
        <v>1$</v>
      </c>
      <c r="T88" s="205"/>
      <c r="U88" s="202" cm="1">
        <f t="array" aca="1" ref="U88" ca="1">IF($R86=2,
         IF(AND(ACOMPANHAMENTO="PLE",ISNUMBER($F86)),
                SUMIF((OFFSET(CÁLCULO!$AM$15:$AW$15,$F86,0,OFFSET(ORÇAMENTO!$D$15,CRONO!$F86,0))),CRONO!U$12,OFFSET(CÁLCULO!$AB$15:$AL$15,$F86,0,OFFSET(ORÇAMENTO!$D$15,CRONO!$F86,0)))
                +IF(AND($F88&lt;&gt;"",$F88&lt;&gt;0),
                        SUMIF(CÁLCULO!$AM$15:$AW$44,CRONO!U$12,CÁLCULO!$AB$15:$AL$44)/(ORÇAMENTO!$X$15-CÁLCULO.TotalAdmLocal)*CRONO!$F88,
                        0),
                 U87*$S86),
          SUMIF(OFFSET($S88,1,0,$R86-2),($M86+1)&amp;"$",OFFSET(U88,1,0,$R86-2)))</f>
        <v>0</v>
      </c>
      <c r="V88" s="202" cm="1">
        <f t="array" aca="1" ref="V88" ca="1">IF($R86=2,
         IF(AND(ACOMPANHAMENTO="PLE",ISNUMBER($F86)),
                SUMIF((OFFSET(CÁLCULO!$AM$15:$AW$15,$F86,0,OFFSET(ORÇAMENTO!$D$15,CRONO!$F86,0))),CRONO!V$12,OFFSET(CÁLCULO!$AB$15:$AL$15,$F86,0,OFFSET(ORÇAMENTO!$D$15,CRONO!$F86,0)))
                +IF(AND($F88&lt;&gt;"",$F88&lt;&gt;0),
                        SUMIF(CÁLCULO!$AM$15:$AW$44,CRONO!V$12,CÁLCULO!$AB$15:$AL$44)/(ORÇAMENTO!$X$15-CÁLCULO.TotalAdmLocal)*CRONO!$F88,
                        0),
                 V87*$S86),
          SUMIF(OFFSET($S88,1,0,$R86-2),($M86+1)&amp;"$",OFFSET(V88,1,0,$R86-2)))</f>
        <v>0</v>
      </c>
      <c r="W88" s="202" cm="1">
        <f t="array" aca="1" ref="W88" ca="1">IF($R86=2,
         IF(AND(ACOMPANHAMENTO="PLE",ISNUMBER($F86)),
                SUMIF((OFFSET(CÁLCULO!$AM$15:$AW$15,$F86,0,OFFSET(ORÇAMENTO!$D$15,CRONO!$F86,0))),CRONO!W$12,OFFSET(CÁLCULO!$AB$15:$AL$15,$F86,0,OFFSET(ORÇAMENTO!$D$15,CRONO!$F86,0)))
                +IF(AND($F88&lt;&gt;"",$F88&lt;&gt;0),
                        SUMIF(CÁLCULO!$AM$15:$AW$44,CRONO!W$12,CÁLCULO!$AB$15:$AL$44)/(ORÇAMENTO!$X$15-CÁLCULO.TotalAdmLocal)*CRONO!$F88,
                        0),
                 W87*$S86),
          SUMIF(OFFSET($S88,1,0,$R86-2),($M86+1)&amp;"$",OFFSET(W88,1,0,$R86-2)))</f>
        <v>0</v>
      </c>
      <c r="X88" s="202" cm="1">
        <f t="array" aca="1" ref="X88" ca="1">IF($R86=2,
         IF(AND(ACOMPANHAMENTO="PLE",ISNUMBER($F86)),
                SUMIF((OFFSET(CÁLCULO!$AM$15:$AW$15,$F86,0,OFFSET(ORÇAMENTO!$D$15,CRONO!$F86,0))),CRONO!X$12,OFFSET(CÁLCULO!$AB$15:$AL$15,$F86,0,OFFSET(ORÇAMENTO!$D$15,CRONO!$F86,0)))
                +IF(AND($F88&lt;&gt;"",$F88&lt;&gt;0),
                        SUMIF(CÁLCULO!$AM$15:$AW$44,CRONO!X$12,CÁLCULO!$AB$15:$AL$44)/(ORÇAMENTO!$X$15-CÁLCULO.TotalAdmLocal)*CRONO!$F88,
                        0),
                 X87*$S86),
          SUMIF(OFFSET($S88,1,0,$R86-2),($M86+1)&amp;"$",OFFSET(X88,1,0,$R86-2)))</f>
        <v>0</v>
      </c>
      <c r="Y88" s="202" cm="1">
        <f t="array" aca="1" ref="Y88" ca="1">IF($R86=2,
         IF(AND(ACOMPANHAMENTO="PLE",ISNUMBER($F86)),
                SUMIF((OFFSET(CÁLCULO!$AM$15:$AW$15,$F86,0,OFFSET(ORÇAMENTO!$D$15,CRONO!$F86,0))),CRONO!Y$12,OFFSET(CÁLCULO!$AB$15:$AL$15,$F86,0,OFFSET(ORÇAMENTO!$D$15,CRONO!$F86,0)))
                +IF(AND($F88&lt;&gt;"",$F88&lt;&gt;0),
                        SUMIF(CÁLCULO!$AM$15:$AW$44,CRONO!Y$12,CÁLCULO!$AB$15:$AL$44)/(ORÇAMENTO!$X$15-CÁLCULO.TotalAdmLocal)*CRONO!$F88,
                        0),
                 Y87*$S86),
          SUMIF(OFFSET($S88,1,0,$R86-2),($M86+1)&amp;"$",OFFSET(Y88,1,0,$R86-2)))</f>
        <v>0</v>
      </c>
      <c r="Z88" s="202" cm="1">
        <f t="array" aca="1" ref="Z88" ca="1">IF($R86=2,
         IF(AND(ACOMPANHAMENTO="PLE",ISNUMBER($F86)),
                SUMIF((OFFSET(CÁLCULO!$AM$15:$AW$15,$F86,0,OFFSET(ORÇAMENTO!$D$15,CRONO!$F86,0))),CRONO!Z$12,OFFSET(CÁLCULO!$AB$15:$AL$15,$F86,0,OFFSET(ORÇAMENTO!$D$15,CRONO!$F86,0)))
                +IF(AND($F88&lt;&gt;"",$F88&lt;&gt;0),
                        SUMIF(CÁLCULO!$AM$15:$AW$44,CRONO!Z$12,CÁLCULO!$AB$15:$AL$44)/(ORÇAMENTO!$X$15-CÁLCULO.TotalAdmLocal)*CRONO!$F88,
                        0),
                 Z87*$S86),
          SUMIF(OFFSET($S88,1,0,$R86-2),($M86+1)&amp;"$",OFFSET(Z88,1,0,$R86-2)))</f>
        <v>0</v>
      </c>
      <c r="AA88" s="202" cm="1">
        <f t="array" aca="1" ref="AA88" ca="1">IF($R86=2,
         IF(AND(ACOMPANHAMENTO="PLE",ISNUMBER($F86)),
                SUMIF((OFFSET(CÁLCULO!$AM$15:$AW$15,$F86,0,OFFSET(ORÇAMENTO!$D$15,CRONO!$F86,0))),CRONO!AA$12,OFFSET(CÁLCULO!$AB$15:$AL$15,$F86,0,OFFSET(ORÇAMENTO!$D$15,CRONO!$F86,0)))
                +IF(AND($F88&lt;&gt;"",$F88&lt;&gt;0),
                        SUMIF(CÁLCULO!$AM$15:$AW$44,CRONO!AA$12,CÁLCULO!$AB$15:$AL$44)/(ORÇAMENTO!$X$15-CÁLCULO.TotalAdmLocal)*CRONO!$F88,
                        0),
                 AA87*$S86),
          SUMIF(OFFSET($S88,1,0,$R86-2),($M86+1)&amp;"$",OFFSET(AA88,1,0,$R86-2)))</f>
        <v>0</v>
      </c>
      <c r="AB88" s="202" cm="1">
        <f t="array" aca="1" ref="AB88" ca="1">IF($R86=2,
         IF(AND(ACOMPANHAMENTO="PLE",ISNUMBER($F86)),
                SUMIF((OFFSET(CÁLCULO!$AM$15:$AW$15,$F86,0,OFFSET(ORÇAMENTO!$D$15,CRONO!$F86,0))),CRONO!AB$12,OFFSET(CÁLCULO!$AB$15:$AL$15,$F86,0,OFFSET(ORÇAMENTO!$D$15,CRONO!$F86,0)))
                +IF(AND($F88&lt;&gt;"",$F88&lt;&gt;0),
                        SUMIF(CÁLCULO!$AM$15:$AW$44,CRONO!AB$12,CÁLCULO!$AB$15:$AL$44)/(ORÇAMENTO!$X$15-CÁLCULO.TotalAdmLocal)*CRONO!$F88,
                        0),
                 AB87*$S86),
          SUMIF(OFFSET($S88,1,0,$R86-2),($M86+1)&amp;"$",OFFSET(AB88,1,0,$R86-2)))</f>
        <v>0</v>
      </c>
      <c r="AC88" s="202" cm="1">
        <f t="array" aca="1" ref="AC88" ca="1">IF($R86=2,
         IF(AND(ACOMPANHAMENTO="PLE",ISNUMBER($F86)),
                SUMIF((OFFSET(CÁLCULO!$AM$15:$AW$15,$F86,0,OFFSET(ORÇAMENTO!$D$15,CRONO!$F86,0))),CRONO!AC$12,OFFSET(CÁLCULO!$AB$15:$AL$15,$F86,0,OFFSET(ORÇAMENTO!$D$15,CRONO!$F86,0)))
                +IF(AND($F88&lt;&gt;"",$F88&lt;&gt;0),
                        SUMIF(CÁLCULO!$AM$15:$AW$44,CRONO!AC$12,CÁLCULO!$AB$15:$AL$44)/(ORÇAMENTO!$X$15-CÁLCULO.TotalAdmLocal)*CRONO!$F88,
                        0),
                 AC87*$S86),
          SUMIF(OFFSET($S88,1,0,$R86-2),($M86+1)&amp;"$",OFFSET(AC88,1,0,$R86-2)))</f>
        <v>0</v>
      </c>
      <c r="AD88" s="202" cm="1">
        <f t="array" aca="1" ref="AD88" ca="1">IF($R86=2,
         IF(AND(ACOMPANHAMENTO="PLE",ISNUMBER($F86)),
                SUMIF((OFFSET(CÁLCULO!$AM$15:$AW$15,$F86,0,OFFSET(ORÇAMENTO!$D$15,CRONO!$F86,0))),CRONO!AD$12,OFFSET(CÁLCULO!$AB$15:$AL$15,$F86,0,OFFSET(ORÇAMENTO!$D$15,CRONO!$F86,0)))
                +IF(AND($F88&lt;&gt;"",$F88&lt;&gt;0),
                        SUMIF(CÁLCULO!$AM$15:$AW$44,CRONO!AD$12,CÁLCULO!$AB$15:$AL$44)/(ORÇAMENTO!$X$15-CÁLCULO.TotalAdmLocal)*CRONO!$F88,
                        0),
                 AD87*$S86),
          SUMIF(OFFSET($S88,1,0,$R86-2),($M86+1)&amp;"$",OFFSET(AD88,1,0,$R86-2)))</f>
        <v>0</v>
      </c>
      <c r="AE88" s="202" cm="1">
        <f t="array" aca="1" ref="AE88" ca="1">IF($R86=2,
         IF(AND(ACOMPANHAMENTO="PLE",ISNUMBER($F86)),
                SUMIF((OFFSET(CÁLCULO!$AM$15:$AW$15,$F86,0,OFFSET(ORÇAMENTO!$D$15,CRONO!$F86,0))),CRONO!AE$12,OFFSET(CÁLCULO!$AB$15:$AL$15,$F86,0,OFFSET(ORÇAMENTO!$D$15,CRONO!$F86,0)))
                +IF(AND($F88&lt;&gt;"",$F88&lt;&gt;0),
                        SUMIF(CÁLCULO!$AM$15:$AW$44,CRONO!AE$12,CÁLCULO!$AB$15:$AL$44)/(ORÇAMENTO!$X$15-CÁLCULO.TotalAdmLocal)*CRONO!$F88,
                        0),
                 AE87*$S86),
          SUMIF(OFFSET($S88,1,0,$R86-2),($M86+1)&amp;"$",OFFSET(AE88,1,0,$R86-2)))</f>
        <v>0</v>
      </c>
      <c r="AF88" s="202" cm="1">
        <f t="array" aca="1" ref="AF88" ca="1">IF($R86=2,
         IF(AND(ACOMPANHAMENTO="PLE",ISNUMBER($F86)),
                SUMIF((OFFSET(CÁLCULO!$AM$15:$AW$15,$F86,0,OFFSET(ORÇAMENTO!$D$15,CRONO!$F86,0))),CRONO!AF$12,OFFSET(CÁLCULO!$AB$15:$AL$15,$F86,0,OFFSET(ORÇAMENTO!$D$15,CRONO!$F86,0)))
                +IF(AND($F88&lt;&gt;"",$F88&lt;&gt;0),
                        SUMIF(CÁLCULO!$AM$15:$AW$44,CRONO!AF$12,CÁLCULO!$AB$15:$AL$44)/(ORÇAMENTO!$X$15-CÁLCULO.TotalAdmLocal)*CRONO!$F88,
                        0),
                 AF87*$S86),
          SUMIF(OFFSET($S88,1,0,$R86-2),($M86+1)&amp;"$",OFFSET(AF88,1,0,$R86-2)))</f>
        <v>0</v>
      </c>
      <c r="AG88" s="534"/>
    </row>
    <row r="89" spans="1:33" x14ac:dyDescent="0.2">
      <c r="A89" s="186" t="str">
        <f t="shared" ref="A89" ca="1" si="152">IF($M89&gt;1,_xlfn.CONCAT($I89," ",$J89),"")</f>
        <v/>
      </c>
      <c r="B89" s="185">
        <f t="shared" ref="B89" ca="1" si="153">OFFSET(B89,-3,0)+1</f>
        <v>26</v>
      </c>
      <c r="C89" s="185">
        <f ca="1">IF($R89&lt;&gt;2,0,IF($S89=0,1,IF(F90&gt;0,OFFSET(QCI!$M$13,SUBSTITUTE(F90,".",""),0),OFFSET(ORÇAMENTO!$AA$15,CRONO!$F89,0))/$S89))</f>
        <v>0</v>
      </c>
      <c r="D89" s="185">
        <f ca="1">IF($R89&lt;&gt;2,0,IF($S89=0,1,IF(F90&gt;0,OFFSET(QCI!$N$13,SUBSTITUTE(F90,".",""),0),OFFSET(ORÇAMENTO!$AB$15,CRONO!$F89,0))/$S89))</f>
        <v>0</v>
      </c>
      <c r="E89" s="188" t="e" cm="1">
        <f t="array" aca="1" ref="E89" ca="1">IF(AND($R89=2,ACOMPANHAMENTO="BM"),ROUND(E90,4),E91/$S89)</f>
        <v>#VALUE!</v>
      </c>
      <c r="F89" s="185" t="e" cm="1">
        <f t="array" aca="1" ref="F89" ca="1">IF(B89&lt;=ORÇAMENTO.MáximoListaCrono,MATCH(B89,ORÇAMENTO.ListaCrono,0),NA())</f>
        <v>#N/A</v>
      </c>
      <c r="G89" s="185" t="str">
        <f t="shared" ref="G89" ca="1" si="154">IF(AND($F90&lt;&gt;-1,$S89&gt;0),"F","")</f>
        <v/>
      </c>
      <c r="H89" s="189" t="str" cm="1">
        <f t="array" aca="1" ref="H89" ca="1">IF(OR(S89=0,S89=""),"Linha",IF(AND(OR(ACOMPANHAMENTO="PLE",$R89&lt;&gt;2),$F90=0),"Linha",ROUND(1-SUM(U89:AG89),4)))</f>
        <v>Linha</v>
      </c>
      <c r="I89" s="190" t="str">
        <f ca="1">IF($F90=0,OFFSET(ORÇAMENTO!O$15,$F89,0),IF($F90&lt;&gt;-1,OFFSET(QCI!$D$13,$F90,0),""))</f>
        <v/>
      </c>
      <c r="J89" s="191" t="str">
        <f ca="1">IF($F90=0,OFFSET(ORÇAMENTO!R$15,$F89,0),IF($F90&lt;&gt;-1,OFFSET(QCI!$G$13,$F90,0),""))</f>
        <v/>
      </c>
      <c r="K89" s="191"/>
      <c r="L89" s="191"/>
      <c r="M89" s="192">
        <f ca="1">IF($F90=0,OFFSET(ORÇAMENTO!C$15,$F89,0),1)</f>
        <v>1</v>
      </c>
      <c r="N89" s="193">
        <f ca="1">IF($F90=-1,0,IF(N$13&lt;=$M89,IF(ISERROR(MATCH(N$13,OFFSET($M89,1,0,ROW($M$164)-ROW($M89)-1),0)),ROW($M$164)-ROW($M89)-1,MATCH(N$13,OFFSET($M89,1,0,ROW($M$164)-ROW($M89)-1),0)-1),0))</f>
        <v>0</v>
      </c>
      <c r="O89" s="193">
        <f ca="1">IF($F90=-1,0,IF(O$13&lt;=$M89,IF(ISERROR(MATCH(O$13,OFFSET($M89,1,0,ROW($M$164)-ROW($M89)-1),0)),ROW($M$164)-ROW($M89)-1,MATCH(O$13,OFFSET($M89,1,0,ROW($M$164)-ROW($M89)-1),0)-1),0))</f>
        <v>0</v>
      </c>
      <c r="P89" s="193">
        <f ca="1">IF($F90=-1,0,IF(P$13&lt;=$M89,IF(ISERROR(MATCH(P$13,OFFSET($M89,1,0,ROW($M$164)-ROW($M89)-1),0)),ROW($M$164)-ROW($M89)-1,MATCH(P$13,OFFSET($M89,1,0,ROW($M$164)-ROW($M89)-1),0)-1),0))</f>
        <v>0</v>
      </c>
      <c r="Q89" s="193">
        <f ca="1">IF($F90=-1,0,IF(Q$13&lt;=$M89,IF(ISERROR(MATCH(Q$13,OFFSET($M89,1,0,ROW($M$164)-ROW($M89)-1),0)),ROW($M$164)-ROW($M89)-1,MATCH(Q$13,OFFSET($M89,1,0,ROW($M$164)-ROW($M89)-1),0)-1),0))</f>
        <v>0</v>
      </c>
      <c r="R89" s="193">
        <f t="shared" ref="R89" ca="1" si="155">MIN(OFFSET(M89,0,1,,M89))</f>
        <v>0</v>
      </c>
      <c r="S89" s="194" t="str">
        <f ca="1">IF($F90=0,OFFSET(ORÇAMENTO!X$15,$F89,0),IF($F90&lt;&gt;-1,OFFSET(QCI!$O$13,$F90,0),""))</f>
        <v/>
      </c>
      <c r="T89" s="195" t="s">
        <v>785</v>
      </c>
      <c r="U89" s="188" t="e" cm="1">
        <f t="array" aca="1" ref="U89" ca="1">IF(AND($R89=2,ACOMPANHAMENTO="BM"),ROUND(U90,4),U91/$S89)</f>
        <v>#VALUE!</v>
      </c>
      <c r="V89" s="188" t="e" cm="1">
        <f t="array" aca="1" ref="V89" ca="1">IF(AND($R89=2,ACOMPANHAMENTO="BM"),ROUND(V90,4),V91/$S89)</f>
        <v>#VALUE!</v>
      </c>
      <c r="W89" s="188" t="e" cm="1">
        <f t="array" aca="1" ref="W89" ca="1">IF(AND($R89=2,ACOMPANHAMENTO="BM"),ROUND(W90,4),W91/$S89)</f>
        <v>#VALUE!</v>
      </c>
      <c r="X89" s="188" t="e" cm="1">
        <f t="array" aca="1" ref="X89" ca="1">IF(AND($R89=2,ACOMPANHAMENTO="BM"),ROUND(X90,4),X91/$S89)</f>
        <v>#VALUE!</v>
      </c>
      <c r="Y89" s="188" t="e" cm="1">
        <f t="array" aca="1" ref="Y89" ca="1">IF(AND($R89=2,ACOMPANHAMENTO="BM"),ROUND(Y90,4),Y91/$S89)</f>
        <v>#VALUE!</v>
      </c>
      <c r="Z89" s="188" t="e" cm="1">
        <f t="array" aca="1" ref="Z89" ca="1">IF(AND($R89=2,ACOMPANHAMENTO="BM"),ROUND(Z90,4),Z91/$S89)</f>
        <v>#VALUE!</v>
      </c>
      <c r="AA89" s="188" t="e" cm="1">
        <f t="array" aca="1" ref="AA89" ca="1">IF(AND($R89=2,ACOMPANHAMENTO="BM"),ROUND(AA90,4),AA91/$S89)</f>
        <v>#VALUE!</v>
      </c>
      <c r="AB89" s="188" t="e" cm="1">
        <f t="array" aca="1" ref="AB89" ca="1">IF(AND($R89=2,ACOMPANHAMENTO="BM"),ROUND(AB90,4),AB91/$S89)</f>
        <v>#VALUE!</v>
      </c>
      <c r="AC89" s="188" t="e" cm="1">
        <f t="array" aca="1" ref="AC89" ca="1">IF(AND($R89=2,ACOMPANHAMENTO="BM"),ROUND(AC90,4),AC91/$S89)</f>
        <v>#VALUE!</v>
      </c>
      <c r="AD89" s="188" t="e" cm="1">
        <f t="array" aca="1" ref="AD89" ca="1">IF(AND($R89=2,ACOMPANHAMENTO="BM"),ROUND(AD90,4),AD91/$S89)</f>
        <v>#VALUE!</v>
      </c>
      <c r="AE89" s="188" t="e" cm="1">
        <f t="array" aca="1" ref="AE89" ca="1">IF(AND($R89=2,ACOMPANHAMENTO="BM"),ROUND(AE90,4),AE91/$S89)</f>
        <v>#VALUE!</v>
      </c>
      <c r="AF89" s="188" t="e" cm="1">
        <f t="array" aca="1" ref="AF89" ca="1">IF(AND($R89=2,ACOMPANHAMENTO="BM"),ROUND(AF90,4),AF91/$S89)</f>
        <v>#VALUE!</v>
      </c>
      <c r="AG89" s="534"/>
    </row>
    <row r="90" spans="1:33" ht="12.75" customHeight="1" x14ac:dyDescent="0.2">
      <c r="E90" s="587"/>
      <c r="F90" s="185">
        <f ca="1">IF(ISERROR(F89),IF(1+COUNTIF($M$13:OFFSET(M89,-1,0),1)&lt;=MAX(QCI!$D$13:$D$24),1+COUNTIF($M$13:OFFSET(M89,-1,0),1),-1),0)</f>
        <v>-1</v>
      </c>
      <c r="G90" s="185" t="str" cm="1">
        <f t="array" aca="1" ref="G90" ca="1">IF(ACOMPANHAMENTO="BM",OFFSET(G90,-1,0),"")</f>
        <v/>
      </c>
      <c r="H90" s="196" t="str" cm="1">
        <f t="array" aca="1" ref="H90" ca="1">IF(OR(S89=0,S89=""),"vazia",IF(AND(OR(ACOMPANHAMENTO="PLE",$R89&lt;&gt;2),$F90=0),"calculada","--&gt;"))</f>
        <v>vazia</v>
      </c>
      <c r="I90" s="197"/>
      <c r="J90" s="198" t="str">
        <f t="shared" ref="J90" ca="1" si="156">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34"/>
    </row>
    <row r="91" spans="1:33" ht="12.75" customHeight="1" x14ac:dyDescent="0.2">
      <c r="D91" s="533"/>
      <c r="E91" s="202" cm="1">
        <f t="array" aca="1" ref="E91" ca="1">IF($R89=2,
         IF(AND(ACOMPANHAMENTO="PLE",ISNUMBER($F89)),
                SUMIF((OFFSET(CÁLCULO!$AM$15:$AW$15,$F89,0,OFFSET(ORÇAMENTO!$D$15,CRONO!$F89,0))),CRONO!E$12,OFFSET(CÁLCULO!$AB$15:$AL$15,$F89,0,OFFSET(ORÇAMENTO!$D$15,CRONO!$F89,0)))
                +IF(AND($F91&lt;&gt;"",$F91&lt;&gt;0),
                        SUMIF(CÁLCULO!$AM$15:$AW$44,CRONO!E$12,CÁLCULO!$AB$15:$AL$44)/(ORÇAMENTO!$X$15-CÁLCULO.TotalAdmLocal)*CRONO!$F91,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203"/>
      <c r="S91" s="204" t="str">
        <f t="shared" ref="S91" ca="1" si="157">M89&amp;"$"</f>
        <v>1$</v>
      </c>
      <c r="T91" s="205"/>
      <c r="U91" s="202" cm="1">
        <f t="array" aca="1" ref="U91" ca="1">IF($R89=2,
         IF(AND(ACOMPANHAMENTO="PLE",ISNUMBER($F89)),
                SUMIF((OFFSET(CÁLCULO!$AM$15:$AW$15,$F89,0,OFFSET(ORÇAMENTO!$D$15,CRONO!$F89,0))),CRONO!U$12,OFFSET(CÁLCULO!$AB$15:$AL$15,$F89,0,OFFSET(ORÇAMENTO!$D$15,CRONO!$F89,0)))
                +IF(AND($F91&lt;&gt;"",$F91&lt;&gt;0),
                        SUMIF(CÁLCULO!$AM$15:$AW$44,CRONO!U$12,CÁLCULO!$AB$15:$AL$44)/(ORÇAMENTO!$X$15-CÁLCULO.TotalAdmLocal)*CRONO!$F91,
                        0),
                 U90*$S89),
          SUMIF(OFFSET($S91,1,0,$R89-2),($M89+1)&amp;"$",OFFSET(U91,1,0,$R89-2)))</f>
        <v>0</v>
      </c>
      <c r="V91" s="202" cm="1">
        <f t="array" aca="1" ref="V91" ca="1">IF($R89=2,
         IF(AND(ACOMPANHAMENTO="PLE",ISNUMBER($F89)),
                SUMIF((OFFSET(CÁLCULO!$AM$15:$AW$15,$F89,0,OFFSET(ORÇAMENTO!$D$15,CRONO!$F89,0))),CRONO!V$12,OFFSET(CÁLCULO!$AB$15:$AL$15,$F89,0,OFFSET(ORÇAMENTO!$D$15,CRONO!$F89,0)))
                +IF(AND($F91&lt;&gt;"",$F91&lt;&gt;0),
                        SUMIF(CÁLCULO!$AM$15:$AW$44,CRONO!V$12,CÁLCULO!$AB$15:$AL$44)/(ORÇAMENTO!$X$15-CÁLCULO.TotalAdmLocal)*CRONO!$F91,
                        0),
                 V90*$S89),
          SUMIF(OFFSET($S91,1,0,$R89-2),($M89+1)&amp;"$",OFFSET(V91,1,0,$R89-2)))</f>
        <v>0</v>
      </c>
      <c r="W91" s="202" cm="1">
        <f t="array" aca="1" ref="W91" ca="1">IF($R89=2,
         IF(AND(ACOMPANHAMENTO="PLE",ISNUMBER($F89)),
                SUMIF((OFFSET(CÁLCULO!$AM$15:$AW$15,$F89,0,OFFSET(ORÇAMENTO!$D$15,CRONO!$F89,0))),CRONO!W$12,OFFSET(CÁLCULO!$AB$15:$AL$15,$F89,0,OFFSET(ORÇAMENTO!$D$15,CRONO!$F89,0)))
                +IF(AND($F91&lt;&gt;"",$F91&lt;&gt;0),
                        SUMIF(CÁLCULO!$AM$15:$AW$44,CRONO!W$12,CÁLCULO!$AB$15:$AL$44)/(ORÇAMENTO!$X$15-CÁLCULO.TotalAdmLocal)*CRONO!$F91,
                        0),
                 W90*$S89),
          SUMIF(OFFSET($S91,1,0,$R89-2),($M89+1)&amp;"$",OFFSET(W91,1,0,$R89-2)))</f>
        <v>0</v>
      </c>
      <c r="X91" s="202" cm="1">
        <f t="array" aca="1" ref="X91" ca="1">IF($R89=2,
         IF(AND(ACOMPANHAMENTO="PLE",ISNUMBER($F89)),
                SUMIF((OFFSET(CÁLCULO!$AM$15:$AW$15,$F89,0,OFFSET(ORÇAMENTO!$D$15,CRONO!$F89,0))),CRONO!X$12,OFFSET(CÁLCULO!$AB$15:$AL$15,$F89,0,OFFSET(ORÇAMENTO!$D$15,CRONO!$F89,0)))
                +IF(AND($F91&lt;&gt;"",$F91&lt;&gt;0),
                        SUMIF(CÁLCULO!$AM$15:$AW$44,CRONO!X$12,CÁLCULO!$AB$15:$AL$44)/(ORÇAMENTO!$X$15-CÁLCULO.TotalAdmLocal)*CRONO!$F91,
                        0),
                 X90*$S89),
          SUMIF(OFFSET($S91,1,0,$R89-2),($M89+1)&amp;"$",OFFSET(X91,1,0,$R89-2)))</f>
        <v>0</v>
      </c>
      <c r="Y91" s="202" cm="1">
        <f t="array" aca="1" ref="Y91" ca="1">IF($R89=2,
         IF(AND(ACOMPANHAMENTO="PLE",ISNUMBER($F89)),
                SUMIF((OFFSET(CÁLCULO!$AM$15:$AW$15,$F89,0,OFFSET(ORÇAMENTO!$D$15,CRONO!$F89,0))),CRONO!Y$12,OFFSET(CÁLCULO!$AB$15:$AL$15,$F89,0,OFFSET(ORÇAMENTO!$D$15,CRONO!$F89,0)))
                +IF(AND($F91&lt;&gt;"",$F91&lt;&gt;0),
                        SUMIF(CÁLCULO!$AM$15:$AW$44,CRONO!Y$12,CÁLCULO!$AB$15:$AL$44)/(ORÇAMENTO!$X$15-CÁLCULO.TotalAdmLocal)*CRONO!$F91,
                        0),
                 Y90*$S89),
          SUMIF(OFFSET($S91,1,0,$R89-2),($M89+1)&amp;"$",OFFSET(Y91,1,0,$R89-2)))</f>
        <v>0</v>
      </c>
      <c r="Z91" s="202" cm="1">
        <f t="array" aca="1" ref="Z91" ca="1">IF($R89=2,
         IF(AND(ACOMPANHAMENTO="PLE",ISNUMBER($F89)),
                SUMIF((OFFSET(CÁLCULO!$AM$15:$AW$15,$F89,0,OFFSET(ORÇAMENTO!$D$15,CRONO!$F89,0))),CRONO!Z$12,OFFSET(CÁLCULO!$AB$15:$AL$15,$F89,0,OFFSET(ORÇAMENTO!$D$15,CRONO!$F89,0)))
                +IF(AND($F91&lt;&gt;"",$F91&lt;&gt;0),
                        SUMIF(CÁLCULO!$AM$15:$AW$44,CRONO!Z$12,CÁLCULO!$AB$15:$AL$44)/(ORÇAMENTO!$X$15-CÁLCULO.TotalAdmLocal)*CRONO!$F91,
                        0),
                 Z90*$S89),
          SUMIF(OFFSET($S91,1,0,$R89-2),($M89+1)&amp;"$",OFFSET(Z91,1,0,$R89-2)))</f>
        <v>0</v>
      </c>
      <c r="AA91" s="202" cm="1">
        <f t="array" aca="1" ref="AA91" ca="1">IF($R89=2,
         IF(AND(ACOMPANHAMENTO="PLE",ISNUMBER($F89)),
                SUMIF((OFFSET(CÁLCULO!$AM$15:$AW$15,$F89,0,OFFSET(ORÇAMENTO!$D$15,CRONO!$F89,0))),CRONO!AA$12,OFFSET(CÁLCULO!$AB$15:$AL$15,$F89,0,OFFSET(ORÇAMENTO!$D$15,CRONO!$F89,0)))
                +IF(AND($F91&lt;&gt;"",$F91&lt;&gt;0),
                        SUMIF(CÁLCULO!$AM$15:$AW$44,CRONO!AA$12,CÁLCULO!$AB$15:$AL$44)/(ORÇAMENTO!$X$15-CÁLCULO.TotalAdmLocal)*CRONO!$F91,
                        0),
                 AA90*$S89),
          SUMIF(OFFSET($S91,1,0,$R89-2),($M89+1)&amp;"$",OFFSET(AA91,1,0,$R89-2)))</f>
        <v>0</v>
      </c>
      <c r="AB91" s="202" cm="1">
        <f t="array" aca="1" ref="AB91" ca="1">IF($R89=2,
         IF(AND(ACOMPANHAMENTO="PLE",ISNUMBER($F89)),
                SUMIF((OFFSET(CÁLCULO!$AM$15:$AW$15,$F89,0,OFFSET(ORÇAMENTO!$D$15,CRONO!$F89,0))),CRONO!AB$12,OFFSET(CÁLCULO!$AB$15:$AL$15,$F89,0,OFFSET(ORÇAMENTO!$D$15,CRONO!$F89,0)))
                +IF(AND($F91&lt;&gt;"",$F91&lt;&gt;0),
                        SUMIF(CÁLCULO!$AM$15:$AW$44,CRONO!AB$12,CÁLCULO!$AB$15:$AL$44)/(ORÇAMENTO!$X$15-CÁLCULO.TotalAdmLocal)*CRONO!$F91,
                        0),
                 AB90*$S89),
          SUMIF(OFFSET($S91,1,0,$R89-2),($M89+1)&amp;"$",OFFSET(AB91,1,0,$R89-2)))</f>
        <v>0</v>
      </c>
      <c r="AC91" s="202" cm="1">
        <f t="array" aca="1" ref="AC91" ca="1">IF($R89=2,
         IF(AND(ACOMPANHAMENTO="PLE",ISNUMBER($F89)),
                SUMIF((OFFSET(CÁLCULO!$AM$15:$AW$15,$F89,0,OFFSET(ORÇAMENTO!$D$15,CRONO!$F89,0))),CRONO!AC$12,OFFSET(CÁLCULO!$AB$15:$AL$15,$F89,0,OFFSET(ORÇAMENTO!$D$15,CRONO!$F89,0)))
                +IF(AND($F91&lt;&gt;"",$F91&lt;&gt;0),
                        SUMIF(CÁLCULO!$AM$15:$AW$44,CRONO!AC$12,CÁLCULO!$AB$15:$AL$44)/(ORÇAMENTO!$X$15-CÁLCULO.TotalAdmLocal)*CRONO!$F91,
                        0),
                 AC90*$S89),
          SUMIF(OFFSET($S91,1,0,$R89-2),($M89+1)&amp;"$",OFFSET(AC91,1,0,$R89-2)))</f>
        <v>0</v>
      </c>
      <c r="AD91" s="202" cm="1">
        <f t="array" aca="1" ref="AD91" ca="1">IF($R89=2,
         IF(AND(ACOMPANHAMENTO="PLE",ISNUMBER($F89)),
                SUMIF((OFFSET(CÁLCULO!$AM$15:$AW$15,$F89,0,OFFSET(ORÇAMENTO!$D$15,CRONO!$F89,0))),CRONO!AD$12,OFFSET(CÁLCULO!$AB$15:$AL$15,$F89,0,OFFSET(ORÇAMENTO!$D$15,CRONO!$F89,0)))
                +IF(AND($F91&lt;&gt;"",$F91&lt;&gt;0),
                        SUMIF(CÁLCULO!$AM$15:$AW$44,CRONO!AD$12,CÁLCULO!$AB$15:$AL$44)/(ORÇAMENTO!$X$15-CÁLCULO.TotalAdmLocal)*CRONO!$F91,
                        0),
                 AD90*$S89),
          SUMIF(OFFSET($S91,1,0,$R89-2),($M89+1)&amp;"$",OFFSET(AD91,1,0,$R89-2)))</f>
        <v>0</v>
      </c>
      <c r="AE91" s="202" cm="1">
        <f t="array" aca="1" ref="AE91" ca="1">IF($R89=2,
         IF(AND(ACOMPANHAMENTO="PLE",ISNUMBER($F89)),
                SUMIF((OFFSET(CÁLCULO!$AM$15:$AW$15,$F89,0,OFFSET(ORÇAMENTO!$D$15,CRONO!$F89,0))),CRONO!AE$12,OFFSET(CÁLCULO!$AB$15:$AL$15,$F89,0,OFFSET(ORÇAMENTO!$D$15,CRONO!$F89,0)))
                +IF(AND($F91&lt;&gt;"",$F91&lt;&gt;0),
                        SUMIF(CÁLCULO!$AM$15:$AW$44,CRONO!AE$12,CÁLCULO!$AB$15:$AL$44)/(ORÇAMENTO!$X$15-CÁLCULO.TotalAdmLocal)*CRONO!$F91,
                        0),
                 AE90*$S89),
          SUMIF(OFFSET($S91,1,0,$R89-2),($M89+1)&amp;"$",OFFSET(AE91,1,0,$R89-2)))</f>
        <v>0</v>
      </c>
      <c r="AF91" s="202" cm="1">
        <f t="array" aca="1" ref="AF91" ca="1">IF($R89=2,
         IF(AND(ACOMPANHAMENTO="PLE",ISNUMBER($F89)),
                SUMIF((OFFSET(CÁLCULO!$AM$15:$AW$15,$F89,0,OFFSET(ORÇAMENTO!$D$15,CRONO!$F89,0))),CRONO!AF$12,OFFSET(CÁLCULO!$AB$15:$AL$15,$F89,0,OFFSET(ORÇAMENTO!$D$15,CRONO!$F89,0)))
                +IF(AND($F91&lt;&gt;"",$F91&lt;&gt;0),
                        SUMIF(CÁLCULO!$AM$15:$AW$44,CRONO!AF$12,CÁLCULO!$AB$15:$AL$44)/(ORÇAMENTO!$X$15-CÁLCULO.TotalAdmLocal)*CRONO!$F91,
                        0),
                 AF90*$S89),
          SUMIF(OFFSET($S91,1,0,$R89-2),($M89+1)&amp;"$",OFFSET(AF91,1,0,$R89-2)))</f>
        <v>0</v>
      </c>
      <c r="AG91" s="534"/>
    </row>
    <row r="92" spans="1:33" x14ac:dyDescent="0.2">
      <c r="A92" s="186" t="str">
        <f t="shared" ref="A92" ca="1" si="158">IF($M92&gt;1,_xlfn.CONCAT($I92," ",$J92),"")</f>
        <v/>
      </c>
      <c r="B92" s="185">
        <f t="shared" ref="B92" ca="1" si="159">OFFSET(B92,-3,0)+1</f>
        <v>27</v>
      </c>
      <c r="C92" s="185">
        <f ca="1">IF($R92&lt;&gt;2,0,IF($S92=0,1,IF(F93&gt;0,OFFSET(QCI!$M$13,SUBSTITUTE(F93,".",""),0),OFFSET(ORÇAMENTO!$AA$15,CRONO!$F92,0))/$S92))</f>
        <v>0</v>
      </c>
      <c r="D92" s="185">
        <f ca="1">IF($R92&lt;&gt;2,0,IF($S92=0,1,IF(F93&gt;0,OFFSET(QCI!$N$13,SUBSTITUTE(F93,".",""),0),OFFSET(ORÇAMENTO!$AB$15,CRONO!$F92,0))/$S92))</f>
        <v>0</v>
      </c>
      <c r="E92" s="188" t="e" cm="1">
        <f t="array" aca="1" ref="E92" ca="1">IF(AND($R92=2,ACOMPANHAMENTO="BM"),ROUND(E93,4),E94/$S92)</f>
        <v>#VALUE!</v>
      </c>
      <c r="F92" s="185" t="e" cm="1">
        <f t="array" aca="1" ref="F92" ca="1">IF(B92&lt;=ORÇAMENTO.MáximoListaCrono,MATCH(B92,ORÇAMENTO.ListaCrono,0),NA())</f>
        <v>#N/A</v>
      </c>
      <c r="G92" s="185" t="str">
        <f t="shared" ref="G92" ca="1" si="160">IF(AND($F93&lt;&gt;-1,$S92&gt;0),"F","")</f>
        <v/>
      </c>
      <c r="H92" s="189" t="str" cm="1">
        <f t="array" aca="1" ref="H92" ca="1">IF(OR(S92=0,S92=""),"Linha",IF(AND(OR(ACOMPANHAMENTO="PLE",$R92&lt;&gt;2),$F93=0),"Linha",ROUND(1-SUM(U92:AG92),4)))</f>
        <v>Linha</v>
      </c>
      <c r="I92" s="190" t="str">
        <f ca="1">IF($F93=0,OFFSET(ORÇAMENTO!O$15,$F92,0),IF($F93&lt;&gt;-1,OFFSET(QCI!$D$13,$F93,0),""))</f>
        <v/>
      </c>
      <c r="J92" s="191" t="str">
        <f ca="1">IF($F93=0,OFFSET(ORÇAMENTO!R$15,$F92,0),IF($F93&lt;&gt;-1,OFFSET(QCI!$G$13,$F93,0),""))</f>
        <v/>
      </c>
      <c r="K92" s="191"/>
      <c r="L92" s="191"/>
      <c r="M92" s="192">
        <f ca="1">IF($F93=0,OFFSET(ORÇAMENTO!C$15,$F92,0),1)</f>
        <v>1</v>
      </c>
      <c r="N92" s="193">
        <f ca="1">IF($F93=-1,0,IF(N$13&lt;=$M92,IF(ISERROR(MATCH(N$13,OFFSET($M92,1,0,ROW($M$164)-ROW($M92)-1),0)),ROW($M$164)-ROW($M92)-1,MATCH(N$13,OFFSET($M92,1,0,ROW($M$164)-ROW($M92)-1),0)-1),0))</f>
        <v>0</v>
      </c>
      <c r="O92" s="193">
        <f ca="1">IF($F93=-1,0,IF(O$13&lt;=$M92,IF(ISERROR(MATCH(O$13,OFFSET($M92,1,0,ROW($M$164)-ROW($M92)-1),0)),ROW($M$164)-ROW($M92)-1,MATCH(O$13,OFFSET($M92,1,0,ROW($M$164)-ROW($M92)-1),0)-1),0))</f>
        <v>0</v>
      </c>
      <c r="P92" s="193">
        <f ca="1">IF($F93=-1,0,IF(P$13&lt;=$M92,IF(ISERROR(MATCH(P$13,OFFSET($M92,1,0,ROW($M$164)-ROW($M92)-1),0)),ROW($M$164)-ROW($M92)-1,MATCH(P$13,OFFSET($M92,1,0,ROW($M$164)-ROW($M92)-1),0)-1),0))</f>
        <v>0</v>
      </c>
      <c r="Q92" s="193">
        <f ca="1">IF($F93=-1,0,IF(Q$13&lt;=$M92,IF(ISERROR(MATCH(Q$13,OFFSET($M92,1,0,ROW($M$164)-ROW($M92)-1),0)),ROW($M$164)-ROW($M92)-1,MATCH(Q$13,OFFSET($M92,1,0,ROW($M$164)-ROW($M92)-1),0)-1),0))</f>
        <v>0</v>
      </c>
      <c r="R92" s="193">
        <f t="shared" ref="R92" ca="1" si="161">MIN(OFFSET(M92,0,1,,M92))</f>
        <v>0</v>
      </c>
      <c r="S92" s="194" t="str">
        <f ca="1">IF($F93=0,OFFSET(ORÇAMENTO!X$15,$F92,0),IF($F93&lt;&gt;-1,OFFSET(QCI!$O$13,$F93,0),""))</f>
        <v/>
      </c>
      <c r="T92" s="195" t="s">
        <v>785</v>
      </c>
      <c r="U92" s="188" t="e" cm="1">
        <f t="array" aca="1" ref="U92" ca="1">IF(AND($R92=2,ACOMPANHAMENTO="BM"),ROUND(U93,4),U94/$S92)</f>
        <v>#VALUE!</v>
      </c>
      <c r="V92" s="188" t="e" cm="1">
        <f t="array" aca="1" ref="V92" ca="1">IF(AND($R92=2,ACOMPANHAMENTO="BM"),ROUND(V93,4),V94/$S92)</f>
        <v>#VALUE!</v>
      </c>
      <c r="W92" s="188" t="e" cm="1">
        <f t="array" aca="1" ref="W92" ca="1">IF(AND($R92=2,ACOMPANHAMENTO="BM"),ROUND(W93,4),W94/$S92)</f>
        <v>#VALUE!</v>
      </c>
      <c r="X92" s="188" t="e" cm="1">
        <f t="array" aca="1" ref="X92" ca="1">IF(AND($R92=2,ACOMPANHAMENTO="BM"),ROUND(X93,4),X94/$S92)</f>
        <v>#VALUE!</v>
      </c>
      <c r="Y92" s="188" t="e" cm="1">
        <f t="array" aca="1" ref="Y92" ca="1">IF(AND($R92=2,ACOMPANHAMENTO="BM"),ROUND(Y93,4),Y94/$S92)</f>
        <v>#VALUE!</v>
      </c>
      <c r="Z92" s="188" t="e" cm="1">
        <f t="array" aca="1" ref="Z92" ca="1">IF(AND($R92=2,ACOMPANHAMENTO="BM"),ROUND(Z93,4),Z94/$S92)</f>
        <v>#VALUE!</v>
      </c>
      <c r="AA92" s="188" t="e" cm="1">
        <f t="array" aca="1" ref="AA92" ca="1">IF(AND($R92=2,ACOMPANHAMENTO="BM"),ROUND(AA93,4),AA94/$S92)</f>
        <v>#VALUE!</v>
      </c>
      <c r="AB92" s="188" t="e" cm="1">
        <f t="array" aca="1" ref="AB92" ca="1">IF(AND($R92=2,ACOMPANHAMENTO="BM"),ROUND(AB93,4),AB94/$S92)</f>
        <v>#VALUE!</v>
      </c>
      <c r="AC92" s="188" t="e" cm="1">
        <f t="array" aca="1" ref="AC92" ca="1">IF(AND($R92=2,ACOMPANHAMENTO="BM"),ROUND(AC93,4),AC94/$S92)</f>
        <v>#VALUE!</v>
      </c>
      <c r="AD92" s="188" t="e" cm="1">
        <f t="array" aca="1" ref="AD92" ca="1">IF(AND($R92=2,ACOMPANHAMENTO="BM"),ROUND(AD93,4),AD94/$S92)</f>
        <v>#VALUE!</v>
      </c>
      <c r="AE92" s="188" t="e" cm="1">
        <f t="array" aca="1" ref="AE92" ca="1">IF(AND($R92=2,ACOMPANHAMENTO="BM"),ROUND(AE93,4),AE94/$S92)</f>
        <v>#VALUE!</v>
      </c>
      <c r="AF92" s="188" t="e" cm="1">
        <f t="array" aca="1" ref="AF92" ca="1">IF(AND($R92=2,ACOMPANHAMENTO="BM"),ROUND(AF93,4),AF94/$S92)</f>
        <v>#VALUE!</v>
      </c>
      <c r="AG92" s="534"/>
    </row>
    <row r="93" spans="1:33" ht="12.75" customHeight="1" x14ac:dyDescent="0.2">
      <c r="E93" s="587"/>
      <c r="F93" s="185">
        <f ca="1">IF(ISERROR(F92),IF(1+COUNTIF($M$13:OFFSET(M92,-1,0),1)&lt;=MAX(QCI!$D$13:$D$24),1+COUNTIF($M$13:OFFSET(M92,-1,0),1),-1),0)</f>
        <v>-1</v>
      </c>
      <c r="G93" s="185" t="str" cm="1">
        <f t="array" aca="1" ref="G93" ca="1">IF(ACOMPANHAMENTO="BM",OFFSET(G93,-1,0),"")</f>
        <v/>
      </c>
      <c r="H93" s="196" t="str" cm="1">
        <f t="array" aca="1" ref="H93" ca="1">IF(OR(S92=0,S92=""),"vazia",IF(AND(OR(ACOMPANHAMENTO="PLE",$R92&lt;&gt;2),$F93=0),"calculada","--&gt;"))</f>
        <v>vazia</v>
      </c>
      <c r="I93" s="197"/>
      <c r="J93" s="198" t="str">
        <f t="shared" ref="J93" ca="1" si="162">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34"/>
    </row>
    <row r="94" spans="1:33" ht="12.75" customHeight="1" x14ac:dyDescent="0.2">
      <c r="D94" s="533"/>
      <c r="E94" s="202" cm="1">
        <f t="array" aca="1" ref="E94" ca="1">IF($R92=2,
         IF(AND(ACOMPANHAMENTO="PLE",ISNUMBER($F92)),
                SUMIF((OFFSET(CÁLCULO!$AM$15:$AW$15,$F92,0,OFFSET(ORÇAMENTO!$D$15,CRONO!$F92,0))),CRONO!E$12,OFFSET(CÁLCULO!$AB$15:$AL$15,$F92,0,OFFSET(ORÇAMENTO!$D$15,CRONO!$F92,0)))
                +IF(AND($F94&lt;&gt;"",$F94&lt;&gt;0),
                        SUMIF(CÁLCULO!$AM$15:$AW$44,CRONO!E$12,CÁLCULO!$AB$15:$AL$44)/(ORÇAMENTO!$X$15-CÁLCULO.TotalAdmLocal)*CRONO!$F94,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203"/>
      <c r="S94" s="204" t="str">
        <f t="shared" ref="S94" ca="1" si="163">M92&amp;"$"</f>
        <v>1$</v>
      </c>
      <c r="T94" s="205"/>
      <c r="U94" s="202" cm="1">
        <f t="array" aca="1" ref="U94" ca="1">IF($R92=2,
         IF(AND(ACOMPANHAMENTO="PLE",ISNUMBER($F92)),
                SUMIF((OFFSET(CÁLCULO!$AM$15:$AW$15,$F92,0,OFFSET(ORÇAMENTO!$D$15,CRONO!$F92,0))),CRONO!U$12,OFFSET(CÁLCULO!$AB$15:$AL$15,$F92,0,OFFSET(ORÇAMENTO!$D$15,CRONO!$F92,0)))
                +IF(AND($F94&lt;&gt;"",$F94&lt;&gt;0),
                        SUMIF(CÁLCULO!$AM$15:$AW$44,CRONO!U$12,CÁLCULO!$AB$15:$AL$44)/(ORÇAMENTO!$X$15-CÁLCULO.TotalAdmLocal)*CRONO!$F94,
                        0),
                 U93*$S92),
          SUMIF(OFFSET($S94,1,0,$R92-2),($M92+1)&amp;"$",OFFSET(U94,1,0,$R92-2)))</f>
        <v>0</v>
      </c>
      <c r="V94" s="202" cm="1">
        <f t="array" aca="1" ref="V94" ca="1">IF($R92=2,
         IF(AND(ACOMPANHAMENTO="PLE",ISNUMBER($F92)),
                SUMIF((OFFSET(CÁLCULO!$AM$15:$AW$15,$F92,0,OFFSET(ORÇAMENTO!$D$15,CRONO!$F92,0))),CRONO!V$12,OFFSET(CÁLCULO!$AB$15:$AL$15,$F92,0,OFFSET(ORÇAMENTO!$D$15,CRONO!$F92,0)))
                +IF(AND($F94&lt;&gt;"",$F94&lt;&gt;0),
                        SUMIF(CÁLCULO!$AM$15:$AW$44,CRONO!V$12,CÁLCULO!$AB$15:$AL$44)/(ORÇAMENTO!$X$15-CÁLCULO.TotalAdmLocal)*CRONO!$F94,
                        0),
                 V93*$S92),
          SUMIF(OFFSET($S94,1,0,$R92-2),($M92+1)&amp;"$",OFFSET(V94,1,0,$R92-2)))</f>
        <v>0</v>
      </c>
      <c r="W94" s="202" cm="1">
        <f t="array" aca="1" ref="W94" ca="1">IF($R92=2,
         IF(AND(ACOMPANHAMENTO="PLE",ISNUMBER($F92)),
                SUMIF((OFFSET(CÁLCULO!$AM$15:$AW$15,$F92,0,OFFSET(ORÇAMENTO!$D$15,CRONO!$F92,0))),CRONO!W$12,OFFSET(CÁLCULO!$AB$15:$AL$15,$F92,0,OFFSET(ORÇAMENTO!$D$15,CRONO!$F92,0)))
                +IF(AND($F94&lt;&gt;"",$F94&lt;&gt;0),
                        SUMIF(CÁLCULO!$AM$15:$AW$44,CRONO!W$12,CÁLCULO!$AB$15:$AL$44)/(ORÇAMENTO!$X$15-CÁLCULO.TotalAdmLocal)*CRONO!$F94,
                        0),
                 W93*$S92),
          SUMIF(OFFSET($S94,1,0,$R92-2),($M92+1)&amp;"$",OFFSET(W94,1,0,$R92-2)))</f>
        <v>0</v>
      </c>
      <c r="X94" s="202" cm="1">
        <f t="array" aca="1" ref="X94" ca="1">IF($R92=2,
         IF(AND(ACOMPANHAMENTO="PLE",ISNUMBER($F92)),
                SUMIF((OFFSET(CÁLCULO!$AM$15:$AW$15,$F92,0,OFFSET(ORÇAMENTO!$D$15,CRONO!$F92,0))),CRONO!X$12,OFFSET(CÁLCULO!$AB$15:$AL$15,$F92,0,OFFSET(ORÇAMENTO!$D$15,CRONO!$F92,0)))
                +IF(AND($F94&lt;&gt;"",$F94&lt;&gt;0),
                        SUMIF(CÁLCULO!$AM$15:$AW$44,CRONO!X$12,CÁLCULO!$AB$15:$AL$44)/(ORÇAMENTO!$X$15-CÁLCULO.TotalAdmLocal)*CRONO!$F94,
                        0),
                 X93*$S92),
          SUMIF(OFFSET($S94,1,0,$R92-2),($M92+1)&amp;"$",OFFSET(X94,1,0,$R92-2)))</f>
        <v>0</v>
      </c>
      <c r="Y94" s="202" cm="1">
        <f t="array" aca="1" ref="Y94" ca="1">IF($R92=2,
         IF(AND(ACOMPANHAMENTO="PLE",ISNUMBER($F92)),
                SUMIF((OFFSET(CÁLCULO!$AM$15:$AW$15,$F92,0,OFFSET(ORÇAMENTO!$D$15,CRONO!$F92,0))),CRONO!Y$12,OFFSET(CÁLCULO!$AB$15:$AL$15,$F92,0,OFFSET(ORÇAMENTO!$D$15,CRONO!$F92,0)))
                +IF(AND($F94&lt;&gt;"",$F94&lt;&gt;0),
                        SUMIF(CÁLCULO!$AM$15:$AW$44,CRONO!Y$12,CÁLCULO!$AB$15:$AL$44)/(ORÇAMENTO!$X$15-CÁLCULO.TotalAdmLocal)*CRONO!$F94,
                        0),
                 Y93*$S92),
          SUMIF(OFFSET($S94,1,0,$R92-2),($M92+1)&amp;"$",OFFSET(Y94,1,0,$R92-2)))</f>
        <v>0</v>
      </c>
      <c r="Z94" s="202" cm="1">
        <f t="array" aca="1" ref="Z94" ca="1">IF($R92=2,
         IF(AND(ACOMPANHAMENTO="PLE",ISNUMBER($F92)),
                SUMIF((OFFSET(CÁLCULO!$AM$15:$AW$15,$F92,0,OFFSET(ORÇAMENTO!$D$15,CRONO!$F92,0))),CRONO!Z$12,OFFSET(CÁLCULO!$AB$15:$AL$15,$F92,0,OFFSET(ORÇAMENTO!$D$15,CRONO!$F92,0)))
                +IF(AND($F94&lt;&gt;"",$F94&lt;&gt;0),
                        SUMIF(CÁLCULO!$AM$15:$AW$44,CRONO!Z$12,CÁLCULO!$AB$15:$AL$44)/(ORÇAMENTO!$X$15-CÁLCULO.TotalAdmLocal)*CRONO!$F94,
                        0),
                 Z93*$S92),
          SUMIF(OFFSET($S94,1,0,$R92-2),($M92+1)&amp;"$",OFFSET(Z94,1,0,$R92-2)))</f>
        <v>0</v>
      </c>
      <c r="AA94" s="202" cm="1">
        <f t="array" aca="1" ref="AA94" ca="1">IF($R92=2,
         IF(AND(ACOMPANHAMENTO="PLE",ISNUMBER($F92)),
                SUMIF((OFFSET(CÁLCULO!$AM$15:$AW$15,$F92,0,OFFSET(ORÇAMENTO!$D$15,CRONO!$F92,0))),CRONO!AA$12,OFFSET(CÁLCULO!$AB$15:$AL$15,$F92,0,OFFSET(ORÇAMENTO!$D$15,CRONO!$F92,0)))
                +IF(AND($F94&lt;&gt;"",$F94&lt;&gt;0),
                        SUMIF(CÁLCULO!$AM$15:$AW$44,CRONO!AA$12,CÁLCULO!$AB$15:$AL$44)/(ORÇAMENTO!$X$15-CÁLCULO.TotalAdmLocal)*CRONO!$F94,
                        0),
                 AA93*$S92),
          SUMIF(OFFSET($S94,1,0,$R92-2),($M92+1)&amp;"$",OFFSET(AA94,1,0,$R92-2)))</f>
        <v>0</v>
      </c>
      <c r="AB94" s="202" cm="1">
        <f t="array" aca="1" ref="AB94" ca="1">IF($R92=2,
         IF(AND(ACOMPANHAMENTO="PLE",ISNUMBER($F92)),
                SUMIF((OFFSET(CÁLCULO!$AM$15:$AW$15,$F92,0,OFFSET(ORÇAMENTO!$D$15,CRONO!$F92,0))),CRONO!AB$12,OFFSET(CÁLCULO!$AB$15:$AL$15,$F92,0,OFFSET(ORÇAMENTO!$D$15,CRONO!$F92,0)))
                +IF(AND($F94&lt;&gt;"",$F94&lt;&gt;0),
                        SUMIF(CÁLCULO!$AM$15:$AW$44,CRONO!AB$12,CÁLCULO!$AB$15:$AL$44)/(ORÇAMENTO!$X$15-CÁLCULO.TotalAdmLocal)*CRONO!$F94,
                        0),
                 AB93*$S92),
          SUMIF(OFFSET($S94,1,0,$R92-2),($M92+1)&amp;"$",OFFSET(AB94,1,0,$R92-2)))</f>
        <v>0</v>
      </c>
      <c r="AC94" s="202" cm="1">
        <f t="array" aca="1" ref="AC94" ca="1">IF($R92=2,
         IF(AND(ACOMPANHAMENTO="PLE",ISNUMBER($F92)),
                SUMIF((OFFSET(CÁLCULO!$AM$15:$AW$15,$F92,0,OFFSET(ORÇAMENTO!$D$15,CRONO!$F92,0))),CRONO!AC$12,OFFSET(CÁLCULO!$AB$15:$AL$15,$F92,0,OFFSET(ORÇAMENTO!$D$15,CRONO!$F92,0)))
                +IF(AND($F94&lt;&gt;"",$F94&lt;&gt;0),
                        SUMIF(CÁLCULO!$AM$15:$AW$44,CRONO!AC$12,CÁLCULO!$AB$15:$AL$44)/(ORÇAMENTO!$X$15-CÁLCULO.TotalAdmLocal)*CRONO!$F94,
                        0),
                 AC93*$S92),
          SUMIF(OFFSET($S94,1,0,$R92-2),($M92+1)&amp;"$",OFFSET(AC94,1,0,$R92-2)))</f>
        <v>0</v>
      </c>
      <c r="AD94" s="202" cm="1">
        <f t="array" aca="1" ref="AD94" ca="1">IF($R92=2,
         IF(AND(ACOMPANHAMENTO="PLE",ISNUMBER($F92)),
                SUMIF((OFFSET(CÁLCULO!$AM$15:$AW$15,$F92,0,OFFSET(ORÇAMENTO!$D$15,CRONO!$F92,0))),CRONO!AD$12,OFFSET(CÁLCULO!$AB$15:$AL$15,$F92,0,OFFSET(ORÇAMENTO!$D$15,CRONO!$F92,0)))
                +IF(AND($F94&lt;&gt;"",$F94&lt;&gt;0),
                        SUMIF(CÁLCULO!$AM$15:$AW$44,CRONO!AD$12,CÁLCULO!$AB$15:$AL$44)/(ORÇAMENTO!$X$15-CÁLCULO.TotalAdmLocal)*CRONO!$F94,
                        0),
                 AD93*$S92),
          SUMIF(OFFSET($S94,1,0,$R92-2),($M92+1)&amp;"$",OFFSET(AD94,1,0,$R92-2)))</f>
        <v>0</v>
      </c>
      <c r="AE94" s="202" cm="1">
        <f t="array" aca="1" ref="AE94" ca="1">IF($R92=2,
         IF(AND(ACOMPANHAMENTO="PLE",ISNUMBER($F92)),
                SUMIF((OFFSET(CÁLCULO!$AM$15:$AW$15,$F92,0,OFFSET(ORÇAMENTO!$D$15,CRONO!$F92,0))),CRONO!AE$12,OFFSET(CÁLCULO!$AB$15:$AL$15,$F92,0,OFFSET(ORÇAMENTO!$D$15,CRONO!$F92,0)))
                +IF(AND($F94&lt;&gt;"",$F94&lt;&gt;0),
                        SUMIF(CÁLCULO!$AM$15:$AW$44,CRONO!AE$12,CÁLCULO!$AB$15:$AL$44)/(ORÇAMENTO!$X$15-CÁLCULO.TotalAdmLocal)*CRONO!$F94,
                        0),
                 AE93*$S92),
          SUMIF(OFFSET($S94,1,0,$R92-2),($M92+1)&amp;"$",OFFSET(AE94,1,0,$R92-2)))</f>
        <v>0</v>
      </c>
      <c r="AF94" s="202" cm="1">
        <f t="array" aca="1" ref="AF94" ca="1">IF($R92=2,
         IF(AND(ACOMPANHAMENTO="PLE",ISNUMBER($F92)),
                SUMIF((OFFSET(CÁLCULO!$AM$15:$AW$15,$F92,0,OFFSET(ORÇAMENTO!$D$15,CRONO!$F92,0))),CRONO!AF$12,OFFSET(CÁLCULO!$AB$15:$AL$15,$F92,0,OFFSET(ORÇAMENTO!$D$15,CRONO!$F92,0)))
                +IF(AND($F94&lt;&gt;"",$F94&lt;&gt;0),
                        SUMIF(CÁLCULO!$AM$15:$AW$44,CRONO!AF$12,CÁLCULO!$AB$15:$AL$44)/(ORÇAMENTO!$X$15-CÁLCULO.TotalAdmLocal)*CRONO!$F94,
                        0),
                 AF93*$S92),
          SUMIF(OFFSET($S94,1,0,$R92-2),($M92+1)&amp;"$",OFFSET(AF94,1,0,$R92-2)))</f>
        <v>0</v>
      </c>
      <c r="AG94" s="534"/>
    </row>
    <row r="95" spans="1:33" x14ac:dyDescent="0.2">
      <c r="A95" s="186" t="str">
        <f t="shared" ref="A95" ca="1" si="164">IF($M95&gt;1,_xlfn.CONCAT($I95," ",$J95),"")</f>
        <v/>
      </c>
      <c r="B95" s="185">
        <f t="shared" ref="B95" ca="1" si="165">OFFSET(B95,-3,0)+1</f>
        <v>28</v>
      </c>
      <c r="C95" s="185">
        <f ca="1">IF($R95&lt;&gt;2,0,IF($S95=0,1,IF(F96&gt;0,OFFSET(QCI!$M$13,SUBSTITUTE(F96,".",""),0),OFFSET(ORÇAMENTO!$AA$15,CRONO!$F95,0))/$S95))</f>
        <v>0</v>
      </c>
      <c r="D95" s="185">
        <f ca="1">IF($R95&lt;&gt;2,0,IF($S95=0,1,IF(F96&gt;0,OFFSET(QCI!$N$13,SUBSTITUTE(F96,".",""),0),OFFSET(ORÇAMENTO!$AB$15,CRONO!$F95,0))/$S95))</f>
        <v>0</v>
      </c>
      <c r="E95" s="188" t="e" cm="1">
        <f t="array" aca="1" ref="E95" ca="1">IF(AND($R95=2,ACOMPANHAMENTO="BM"),ROUND(E96,4),E97/$S95)</f>
        <v>#VALUE!</v>
      </c>
      <c r="F95" s="185" t="e" cm="1">
        <f t="array" aca="1" ref="F95" ca="1">IF(B95&lt;=ORÇAMENTO.MáximoListaCrono,MATCH(B95,ORÇAMENTO.ListaCrono,0),NA())</f>
        <v>#N/A</v>
      </c>
      <c r="G95" s="185" t="str">
        <f t="shared" ref="G95" ca="1" si="166">IF(AND($F96&lt;&gt;-1,$S95&gt;0),"F","")</f>
        <v/>
      </c>
      <c r="H95" s="189" t="str" cm="1">
        <f t="array" aca="1" ref="H95" ca="1">IF(OR(S95=0,S95=""),"Linha",IF(AND(OR(ACOMPANHAMENTO="PLE",$R95&lt;&gt;2),$F96=0),"Linha",ROUND(1-SUM(U95:AG95),4)))</f>
        <v>Linha</v>
      </c>
      <c r="I95" s="190" t="str">
        <f ca="1">IF($F96=0,OFFSET(ORÇAMENTO!O$15,$F95,0),IF($F96&lt;&gt;-1,OFFSET(QCI!$D$13,$F96,0),""))</f>
        <v/>
      </c>
      <c r="J95" s="191" t="str">
        <f ca="1">IF($F96=0,OFFSET(ORÇAMENTO!R$15,$F95,0),IF($F96&lt;&gt;-1,OFFSET(QCI!$G$13,$F96,0),""))</f>
        <v/>
      </c>
      <c r="K95" s="191"/>
      <c r="L95" s="191"/>
      <c r="M95" s="192">
        <f ca="1">IF($F96=0,OFFSET(ORÇAMENTO!C$15,$F95,0),1)</f>
        <v>1</v>
      </c>
      <c r="N95" s="193">
        <f ca="1">IF($F96=-1,0,IF(N$13&lt;=$M95,IF(ISERROR(MATCH(N$13,OFFSET($M95,1,0,ROW($M$164)-ROW($M95)-1),0)),ROW($M$164)-ROW($M95)-1,MATCH(N$13,OFFSET($M95,1,0,ROW($M$164)-ROW($M95)-1),0)-1),0))</f>
        <v>0</v>
      </c>
      <c r="O95" s="193">
        <f ca="1">IF($F96=-1,0,IF(O$13&lt;=$M95,IF(ISERROR(MATCH(O$13,OFFSET($M95,1,0,ROW($M$164)-ROW($M95)-1),0)),ROW($M$164)-ROW($M95)-1,MATCH(O$13,OFFSET($M95,1,0,ROW($M$164)-ROW($M95)-1),0)-1),0))</f>
        <v>0</v>
      </c>
      <c r="P95" s="193">
        <f ca="1">IF($F96=-1,0,IF(P$13&lt;=$M95,IF(ISERROR(MATCH(P$13,OFFSET($M95,1,0,ROW($M$164)-ROW($M95)-1),0)),ROW($M$164)-ROW($M95)-1,MATCH(P$13,OFFSET($M95,1,0,ROW($M$164)-ROW($M95)-1),0)-1),0))</f>
        <v>0</v>
      </c>
      <c r="Q95" s="193">
        <f ca="1">IF($F96=-1,0,IF(Q$13&lt;=$M95,IF(ISERROR(MATCH(Q$13,OFFSET($M95,1,0,ROW($M$164)-ROW($M95)-1),0)),ROW($M$164)-ROW($M95)-1,MATCH(Q$13,OFFSET($M95,1,0,ROW($M$164)-ROW($M95)-1),0)-1),0))</f>
        <v>0</v>
      </c>
      <c r="R95" s="193">
        <f t="shared" ref="R95" ca="1" si="167">MIN(OFFSET(M95,0,1,,M95))</f>
        <v>0</v>
      </c>
      <c r="S95" s="194" t="str">
        <f ca="1">IF($F96=0,OFFSET(ORÇAMENTO!X$15,$F95,0),IF($F96&lt;&gt;-1,OFFSET(QCI!$O$13,$F96,0),""))</f>
        <v/>
      </c>
      <c r="T95" s="195" t="s">
        <v>785</v>
      </c>
      <c r="U95" s="188" t="e" cm="1">
        <f t="array" aca="1" ref="U95" ca="1">IF(AND($R95=2,ACOMPANHAMENTO="BM"),ROUND(U96,4),U97/$S95)</f>
        <v>#VALUE!</v>
      </c>
      <c r="V95" s="188" t="e" cm="1">
        <f t="array" aca="1" ref="V95" ca="1">IF(AND($R95=2,ACOMPANHAMENTO="BM"),ROUND(V96,4),V97/$S95)</f>
        <v>#VALUE!</v>
      </c>
      <c r="W95" s="188" t="e" cm="1">
        <f t="array" aca="1" ref="W95" ca="1">IF(AND($R95=2,ACOMPANHAMENTO="BM"),ROUND(W96,4),W97/$S95)</f>
        <v>#VALUE!</v>
      </c>
      <c r="X95" s="188" t="e" cm="1">
        <f t="array" aca="1" ref="X95" ca="1">IF(AND($R95=2,ACOMPANHAMENTO="BM"),ROUND(X96,4),X97/$S95)</f>
        <v>#VALUE!</v>
      </c>
      <c r="Y95" s="188" t="e" cm="1">
        <f t="array" aca="1" ref="Y95" ca="1">IF(AND($R95=2,ACOMPANHAMENTO="BM"),ROUND(Y96,4),Y97/$S95)</f>
        <v>#VALUE!</v>
      </c>
      <c r="Z95" s="188" t="e" cm="1">
        <f t="array" aca="1" ref="Z95" ca="1">IF(AND($R95=2,ACOMPANHAMENTO="BM"),ROUND(Z96,4),Z97/$S95)</f>
        <v>#VALUE!</v>
      </c>
      <c r="AA95" s="188" t="e" cm="1">
        <f t="array" aca="1" ref="AA95" ca="1">IF(AND($R95=2,ACOMPANHAMENTO="BM"),ROUND(AA96,4),AA97/$S95)</f>
        <v>#VALUE!</v>
      </c>
      <c r="AB95" s="188" t="e" cm="1">
        <f t="array" aca="1" ref="AB95" ca="1">IF(AND($R95=2,ACOMPANHAMENTO="BM"),ROUND(AB96,4),AB97/$S95)</f>
        <v>#VALUE!</v>
      </c>
      <c r="AC95" s="188" t="e" cm="1">
        <f t="array" aca="1" ref="AC95" ca="1">IF(AND($R95=2,ACOMPANHAMENTO="BM"),ROUND(AC96,4),AC97/$S95)</f>
        <v>#VALUE!</v>
      </c>
      <c r="AD95" s="188" t="e" cm="1">
        <f t="array" aca="1" ref="AD95" ca="1">IF(AND($R95=2,ACOMPANHAMENTO="BM"),ROUND(AD96,4),AD97/$S95)</f>
        <v>#VALUE!</v>
      </c>
      <c r="AE95" s="188" t="e" cm="1">
        <f t="array" aca="1" ref="AE95" ca="1">IF(AND($R95=2,ACOMPANHAMENTO="BM"),ROUND(AE96,4),AE97/$S95)</f>
        <v>#VALUE!</v>
      </c>
      <c r="AF95" s="188" t="e" cm="1">
        <f t="array" aca="1" ref="AF95" ca="1">IF(AND($R95=2,ACOMPANHAMENTO="BM"),ROUND(AF96,4),AF97/$S95)</f>
        <v>#VALUE!</v>
      </c>
      <c r="AG95" s="534"/>
    </row>
    <row r="96" spans="1:33" ht="12.75" customHeight="1" x14ac:dyDescent="0.2">
      <c r="E96" s="587"/>
      <c r="F96" s="185">
        <f ca="1">IF(ISERROR(F95),IF(1+COUNTIF($M$13:OFFSET(M95,-1,0),1)&lt;=MAX(QCI!$D$13:$D$24),1+COUNTIF($M$13:OFFSET(M95,-1,0),1),-1),0)</f>
        <v>-1</v>
      </c>
      <c r="G96" s="185" t="str" cm="1">
        <f t="array" aca="1" ref="G96" ca="1">IF(ACOMPANHAMENTO="BM",OFFSET(G96,-1,0),"")</f>
        <v/>
      </c>
      <c r="H96" s="196" t="str" cm="1">
        <f t="array" aca="1" ref="H96" ca="1">IF(OR(S95=0,S95=""),"vazia",IF(AND(OR(ACOMPANHAMENTO="PLE",$R95&lt;&gt;2),$F96=0),"calculada","--&gt;"))</f>
        <v>vazia</v>
      </c>
      <c r="I96" s="197"/>
      <c r="J96" s="198" t="str">
        <f t="shared" ref="J96" ca="1" si="168">IF(AND(H95&lt;&gt;0,ISNUMBER(H95)),"PREENCHA ESTA LINHA --&gt;","")</f>
        <v/>
      </c>
      <c r="K96" s="198"/>
      <c r="L96" s="198"/>
      <c r="M96" s="199"/>
      <c r="N96" s="199"/>
      <c r="O96" s="199"/>
      <c r="P96" s="199"/>
      <c r="Q96" s="199"/>
      <c r="R96" s="199"/>
      <c r="S96" s="200"/>
      <c r="T96" s="201"/>
      <c r="U96" s="587"/>
      <c r="V96" s="587"/>
      <c r="W96" s="587"/>
      <c r="X96" s="587"/>
      <c r="Y96" s="587"/>
      <c r="Z96" s="587"/>
      <c r="AA96" s="587"/>
      <c r="AB96" s="587"/>
      <c r="AC96" s="587"/>
      <c r="AD96" s="587"/>
      <c r="AE96" s="587"/>
      <c r="AF96" s="587"/>
      <c r="AG96" s="534"/>
    </row>
    <row r="97" spans="1:33" ht="12.75" customHeight="1" x14ac:dyDescent="0.2">
      <c r="D97" s="533"/>
      <c r="E97" s="202" cm="1">
        <f t="array" aca="1" ref="E97" ca="1">IF($R95=2,
         IF(AND(ACOMPANHAMENTO="PLE",ISNUMBER($F95)),
                SUMIF((OFFSET(CÁLCULO!$AM$15:$AW$15,$F95,0,OFFSET(ORÇAMENTO!$D$15,CRONO!$F95,0))),CRONO!E$12,OFFSET(CÁLCULO!$AB$15:$AL$15,$F95,0,OFFSET(ORÇAMENTO!$D$15,CRONO!$F95,0)))
                +IF(AND($F97&lt;&gt;"",$F97&lt;&gt;0),
                        SUMIF(CÁLCULO!$AM$15:$AW$44,CRONO!E$12,CÁLCULO!$AB$15:$AL$44)/(ORÇAMENTO!$X$15-CÁLCULO.TotalAdmLocal)*CRONO!$F97,
                        0),
                 E96*$S95),
          SUMIF(OFFSET($S97,1,0,$R95-2),($M95+1)&amp;"$",OFFSET(E97,1,0,$R95-2)))</f>
        <v>0</v>
      </c>
      <c r="F97" s="185" t="str">
        <f ca="1">IF(OR($R95&lt;&gt;2,AUTOEVENTO&lt;&gt;"manual",$F96&gt;0),"",
        IF(Import.TipoArredondamento="Tradicional",
              SUMIF(OFFSET(CÁLCULO!$M$15,CRONO!$F95,0,OFFSET(ORÇAMENTO!$D$15,CRONO!$F95,0)),1,OFFSET(ORÇAMENTO!$X$15,CRONO!$F95,0,OFFSET(ORÇAMENTO!$D$15,CRONO!$F95,0))),
              0))</f>
        <v/>
      </c>
      <c r="H97" s="203"/>
      <c r="S97" s="204" t="str">
        <f t="shared" ref="S97" ca="1" si="169">M95&amp;"$"</f>
        <v>1$</v>
      </c>
      <c r="T97" s="205"/>
      <c r="U97" s="202" cm="1">
        <f t="array" aca="1" ref="U97" ca="1">IF($R95=2,
         IF(AND(ACOMPANHAMENTO="PLE",ISNUMBER($F95)),
                SUMIF((OFFSET(CÁLCULO!$AM$15:$AW$15,$F95,0,OFFSET(ORÇAMENTO!$D$15,CRONO!$F95,0))),CRONO!U$12,OFFSET(CÁLCULO!$AB$15:$AL$15,$F95,0,OFFSET(ORÇAMENTO!$D$15,CRONO!$F95,0)))
                +IF(AND($F97&lt;&gt;"",$F97&lt;&gt;0),
                        SUMIF(CÁLCULO!$AM$15:$AW$44,CRONO!U$12,CÁLCULO!$AB$15:$AL$44)/(ORÇAMENTO!$X$15-CÁLCULO.TotalAdmLocal)*CRONO!$F97,
                        0),
                 U96*$S95),
          SUMIF(OFFSET($S97,1,0,$R95-2),($M95+1)&amp;"$",OFFSET(U97,1,0,$R95-2)))</f>
        <v>0</v>
      </c>
      <c r="V97" s="202" cm="1">
        <f t="array" aca="1" ref="V97" ca="1">IF($R95=2,
         IF(AND(ACOMPANHAMENTO="PLE",ISNUMBER($F95)),
                SUMIF((OFFSET(CÁLCULO!$AM$15:$AW$15,$F95,0,OFFSET(ORÇAMENTO!$D$15,CRONO!$F95,0))),CRONO!V$12,OFFSET(CÁLCULO!$AB$15:$AL$15,$F95,0,OFFSET(ORÇAMENTO!$D$15,CRONO!$F95,0)))
                +IF(AND($F97&lt;&gt;"",$F97&lt;&gt;0),
                        SUMIF(CÁLCULO!$AM$15:$AW$44,CRONO!V$12,CÁLCULO!$AB$15:$AL$44)/(ORÇAMENTO!$X$15-CÁLCULO.TotalAdmLocal)*CRONO!$F97,
                        0),
                 V96*$S95),
          SUMIF(OFFSET($S97,1,0,$R95-2),($M95+1)&amp;"$",OFFSET(V97,1,0,$R95-2)))</f>
        <v>0</v>
      </c>
      <c r="W97" s="202" cm="1">
        <f t="array" aca="1" ref="W97" ca="1">IF($R95=2,
         IF(AND(ACOMPANHAMENTO="PLE",ISNUMBER($F95)),
                SUMIF((OFFSET(CÁLCULO!$AM$15:$AW$15,$F95,0,OFFSET(ORÇAMENTO!$D$15,CRONO!$F95,0))),CRONO!W$12,OFFSET(CÁLCULO!$AB$15:$AL$15,$F95,0,OFFSET(ORÇAMENTO!$D$15,CRONO!$F95,0)))
                +IF(AND($F97&lt;&gt;"",$F97&lt;&gt;0),
                        SUMIF(CÁLCULO!$AM$15:$AW$44,CRONO!W$12,CÁLCULO!$AB$15:$AL$44)/(ORÇAMENTO!$X$15-CÁLCULO.TotalAdmLocal)*CRONO!$F97,
                        0),
                 W96*$S95),
          SUMIF(OFFSET($S97,1,0,$R95-2),($M95+1)&amp;"$",OFFSET(W97,1,0,$R95-2)))</f>
        <v>0</v>
      </c>
      <c r="X97" s="202" cm="1">
        <f t="array" aca="1" ref="X97" ca="1">IF($R95=2,
         IF(AND(ACOMPANHAMENTO="PLE",ISNUMBER($F95)),
                SUMIF((OFFSET(CÁLCULO!$AM$15:$AW$15,$F95,0,OFFSET(ORÇAMENTO!$D$15,CRONO!$F95,0))),CRONO!X$12,OFFSET(CÁLCULO!$AB$15:$AL$15,$F95,0,OFFSET(ORÇAMENTO!$D$15,CRONO!$F95,0)))
                +IF(AND($F97&lt;&gt;"",$F97&lt;&gt;0),
                        SUMIF(CÁLCULO!$AM$15:$AW$44,CRONO!X$12,CÁLCULO!$AB$15:$AL$44)/(ORÇAMENTO!$X$15-CÁLCULO.TotalAdmLocal)*CRONO!$F97,
                        0),
                 X96*$S95),
          SUMIF(OFFSET($S97,1,0,$R95-2),($M95+1)&amp;"$",OFFSET(X97,1,0,$R95-2)))</f>
        <v>0</v>
      </c>
      <c r="Y97" s="202" cm="1">
        <f t="array" aca="1" ref="Y97" ca="1">IF($R95=2,
         IF(AND(ACOMPANHAMENTO="PLE",ISNUMBER($F95)),
                SUMIF((OFFSET(CÁLCULO!$AM$15:$AW$15,$F95,0,OFFSET(ORÇAMENTO!$D$15,CRONO!$F95,0))),CRONO!Y$12,OFFSET(CÁLCULO!$AB$15:$AL$15,$F95,0,OFFSET(ORÇAMENTO!$D$15,CRONO!$F95,0)))
                +IF(AND($F97&lt;&gt;"",$F97&lt;&gt;0),
                        SUMIF(CÁLCULO!$AM$15:$AW$44,CRONO!Y$12,CÁLCULO!$AB$15:$AL$44)/(ORÇAMENTO!$X$15-CÁLCULO.TotalAdmLocal)*CRONO!$F97,
                        0),
                 Y96*$S95),
          SUMIF(OFFSET($S97,1,0,$R95-2),($M95+1)&amp;"$",OFFSET(Y97,1,0,$R95-2)))</f>
        <v>0</v>
      </c>
      <c r="Z97" s="202" cm="1">
        <f t="array" aca="1" ref="Z97" ca="1">IF($R95=2,
         IF(AND(ACOMPANHAMENTO="PLE",ISNUMBER($F95)),
                SUMIF((OFFSET(CÁLCULO!$AM$15:$AW$15,$F95,0,OFFSET(ORÇAMENTO!$D$15,CRONO!$F95,0))),CRONO!Z$12,OFFSET(CÁLCULO!$AB$15:$AL$15,$F95,0,OFFSET(ORÇAMENTO!$D$15,CRONO!$F95,0)))
                +IF(AND($F97&lt;&gt;"",$F97&lt;&gt;0),
                        SUMIF(CÁLCULO!$AM$15:$AW$44,CRONO!Z$12,CÁLCULO!$AB$15:$AL$44)/(ORÇAMENTO!$X$15-CÁLCULO.TotalAdmLocal)*CRONO!$F97,
                        0),
                 Z96*$S95),
          SUMIF(OFFSET($S97,1,0,$R95-2),($M95+1)&amp;"$",OFFSET(Z97,1,0,$R95-2)))</f>
        <v>0</v>
      </c>
      <c r="AA97" s="202" cm="1">
        <f t="array" aca="1" ref="AA97" ca="1">IF($R95=2,
         IF(AND(ACOMPANHAMENTO="PLE",ISNUMBER($F95)),
                SUMIF((OFFSET(CÁLCULO!$AM$15:$AW$15,$F95,0,OFFSET(ORÇAMENTO!$D$15,CRONO!$F95,0))),CRONO!AA$12,OFFSET(CÁLCULO!$AB$15:$AL$15,$F95,0,OFFSET(ORÇAMENTO!$D$15,CRONO!$F95,0)))
                +IF(AND($F97&lt;&gt;"",$F97&lt;&gt;0),
                        SUMIF(CÁLCULO!$AM$15:$AW$44,CRONO!AA$12,CÁLCULO!$AB$15:$AL$44)/(ORÇAMENTO!$X$15-CÁLCULO.TotalAdmLocal)*CRONO!$F97,
                        0),
                 AA96*$S95),
          SUMIF(OFFSET($S97,1,0,$R95-2),($M95+1)&amp;"$",OFFSET(AA97,1,0,$R95-2)))</f>
        <v>0</v>
      </c>
      <c r="AB97" s="202" cm="1">
        <f t="array" aca="1" ref="AB97" ca="1">IF($R95=2,
         IF(AND(ACOMPANHAMENTO="PLE",ISNUMBER($F95)),
                SUMIF((OFFSET(CÁLCULO!$AM$15:$AW$15,$F95,0,OFFSET(ORÇAMENTO!$D$15,CRONO!$F95,0))),CRONO!AB$12,OFFSET(CÁLCULO!$AB$15:$AL$15,$F95,0,OFFSET(ORÇAMENTO!$D$15,CRONO!$F95,0)))
                +IF(AND($F97&lt;&gt;"",$F97&lt;&gt;0),
                        SUMIF(CÁLCULO!$AM$15:$AW$44,CRONO!AB$12,CÁLCULO!$AB$15:$AL$44)/(ORÇAMENTO!$X$15-CÁLCULO.TotalAdmLocal)*CRONO!$F97,
                        0),
                 AB96*$S95),
          SUMIF(OFFSET($S97,1,0,$R95-2),($M95+1)&amp;"$",OFFSET(AB97,1,0,$R95-2)))</f>
        <v>0</v>
      </c>
      <c r="AC97" s="202" cm="1">
        <f t="array" aca="1" ref="AC97" ca="1">IF($R95=2,
         IF(AND(ACOMPANHAMENTO="PLE",ISNUMBER($F95)),
                SUMIF((OFFSET(CÁLCULO!$AM$15:$AW$15,$F95,0,OFFSET(ORÇAMENTO!$D$15,CRONO!$F95,0))),CRONO!AC$12,OFFSET(CÁLCULO!$AB$15:$AL$15,$F95,0,OFFSET(ORÇAMENTO!$D$15,CRONO!$F95,0)))
                +IF(AND($F97&lt;&gt;"",$F97&lt;&gt;0),
                        SUMIF(CÁLCULO!$AM$15:$AW$44,CRONO!AC$12,CÁLCULO!$AB$15:$AL$44)/(ORÇAMENTO!$X$15-CÁLCULO.TotalAdmLocal)*CRONO!$F97,
                        0),
                 AC96*$S95),
          SUMIF(OFFSET($S97,1,0,$R95-2),($M95+1)&amp;"$",OFFSET(AC97,1,0,$R95-2)))</f>
        <v>0</v>
      </c>
      <c r="AD97" s="202" cm="1">
        <f t="array" aca="1" ref="AD97" ca="1">IF($R95=2,
         IF(AND(ACOMPANHAMENTO="PLE",ISNUMBER($F95)),
                SUMIF((OFFSET(CÁLCULO!$AM$15:$AW$15,$F95,0,OFFSET(ORÇAMENTO!$D$15,CRONO!$F95,0))),CRONO!AD$12,OFFSET(CÁLCULO!$AB$15:$AL$15,$F95,0,OFFSET(ORÇAMENTO!$D$15,CRONO!$F95,0)))
                +IF(AND($F97&lt;&gt;"",$F97&lt;&gt;0),
                        SUMIF(CÁLCULO!$AM$15:$AW$44,CRONO!AD$12,CÁLCULO!$AB$15:$AL$44)/(ORÇAMENTO!$X$15-CÁLCULO.TotalAdmLocal)*CRONO!$F97,
                        0),
                 AD96*$S95),
          SUMIF(OFFSET($S97,1,0,$R95-2),($M95+1)&amp;"$",OFFSET(AD97,1,0,$R95-2)))</f>
        <v>0</v>
      </c>
      <c r="AE97" s="202" cm="1">
        <f t="array" aca="1" ref="AE97" ca="1">IF($R95=2,
         IF(AND(ACOMPANHAMENTO="PLE",ISNUMBER($F95)),
                SUMIF((OFFSET(CÁLCULO!$AM$15:$AW$15,$F95,0,OFFSET(ORÇAMENTO!$D$15,CRONO!$F95,0))),CRONO!AE$12,OFFSET(CÁLCULO!$AB$15:$AL$15,$F95,0,OFFSET(ORÇAMENTO!$D$15,CRONO!$F95,0)))
                +IF(AND($F97&lt;&gt;"",$F97&lt;&gt;0),
                        SUMIF(CÁLCULO!$AM$15:$AW$44,CRONO!AE$12,CÁLCULO!$AB$15:$AL$44)/(ORÇAMENTO!$X$15-CÁLCULO.TotalAdmLocal)*CRONO!$F97,
                        0),
                 AE96*$S95),
          SUMIF(OFFSET($S97,1,0,$R95-2),($M95+1)&amp;"$",OFFSET(AE97,1,0,$R95-2)))</f>
        <v>0</v>
      </c>
      <c r="AF97" s="202" cm="1">
        <f t="array" aca="1" ref="AF97" ca="1">IF($R95=2,
         IF(AND(ACOMPANHAMENTO="PLE",ISNUMBER($F95)),
                SUMIF((OFFSET(CÁLCULO!$AM$15:$AW$15,$F95,0,OFFSET(ORÇAMENTO!$D$15,CRONO!$F95,0))),CRONO!AF$12,OFFSET(CÁLCULO!$AB$15:$AL$15,$F95,0,OFFSET(ORÇAMENTO!$D$15,CRONO!$F95,0)))
                +IF(AND($F97&lt;&gt;"",$F97&lt;&gt;0),
                        SUMIF(CÁLCULO!$AM$15:$AW$44,CRONO!AF$12,CÁLCULO!$AB$15:$AL$44)/(ORÇAMENTO!$X$15-CÁLCULO.TotalAdmLocal)*CRONO!$F97,
                        0),
                 AF96*$S95),
          SUMIF(OFFSET($S97,1,0,$R95-2),($M95+1)&amp;"$",OFFSET(AF97,1,0,$R95-2)))</f>
        <v>0</v>
      </c>
      <c r="AG97" s="534"/>
    </row>
    <row r="98" spans="1:33" x14ac:dyDescent="0.2">
      <c r="A98" s="186" t="str">
        <f t="shared" ref="A98" ca="1" si="170">IF($M98&gt;1,_xlfn.CONCAT($I98," ",$J98),"")</f>
        <v/>
      </c>
      <c r="B98" s="185">
        <f t="shared" ref="B98" ca="1" si="171">OFFSET(B98,-3,0)+1</f>
        <v>29</v>
      </c>
      <c r="C98" s="185">
        <f ca="1">IF($R98&lt;&gt;2,0,IF($S98=0,1,IF(F99&gt;0,OFFSET(QCI!$M$13,SUBSTITUTE(F99,".",""),0),OFFSET(ORÇAMENTO!$AA$15,CRONO!$F98,0))/$S98))</f>
        <v>0</v>
      </c>
      <c r="D98" s="185">
        <f ca="1">IF($R98&lt;&gt;2,0,IF($S98=0,1,IF(F99&gt;0,OFFSET(QCI!$N$13,SUBSTITUTE(F99,".",""),0),OFFSET(ORÇAMENTO!$AB$15,CRONO!$F98,0))/$S98))</f>
        <v>0</v>
      </c>
      <c r="E98" s="188" t="e" cm="1">
        <f t="array" aca="1" ref="E98" ca="1">IF(AND($R98=2,ACOMPANHAMENTO="BM"),ROUND(E99,4),E100/$S98)</f>
        <v>#VALUE!</v>
      </c>
      <c r="F98" s="185" t="e" cm="1">
        <f t="array" aca="1" ref="F98" ca="1">IF(B98&lt;=ORÇAMENTO.MáximoListaCrono,MATCH(B98,ORÇAMENTO.ListaCrono,0),NA())</f>
        <v>#N/A</v>
      </c>
      <c r="G98" s="185" t="str">
        <f t="shared" ref="G98" ca="1" si="172">IF(AND($F99&lt;&gt;-1,$S98&gt;0),"F","")</f>
        <v/>
      </c>
      <c r="H98" s="189" t="str" cm="1">
        <f t="array" aca="1" ref="H98" ca="1">IF(OR(S98=0,S98=""),"Linha",IF(AND(OR(ACOMPANHAMENTO="PLE",$R98&lt;&gt;2),$F99=0),"Linha",ROUND(1-SUM(U98:AG98),4)))</f>
        <v>Linha</v>
      </c>
      <c r="I98" s="190" t="str">
        <f ca="1">IF($F99=0,OFFSET(ORÇAMENTO!O$15,$F98,0),IF($F99&lt;&gt;-1,OFFSET(QCI!$D$13,$F99,0),""))</f>
        <v/>
      </c>
      <c r="J98" s="191" t="str">
        <f ca="1">IF($F99=0,OFFSET(ORÇAMENTO!R$15,$F98,0),IF($F99&lt;&gt;-1,OFFSET(QCI!$G$13,$F99,0),""))</f>
        <v/>
      </c>
      <c r="K98" s="191"/>
      <c r="L98" s="191"/>
      <c r="M98" s="192">
        <f ca="1">IF($F99=0,OFFSET(ORÇAMENTO!C$15,$F98,0),1)</f>
        <v>1</v>
      </c>
      <c r="N98" s="193">
        <f ca="1">IF($F99=-1,0,IF(N$13&lt;=$M98,IF(ISERROR(MATCH(N$13,OFFSET($M98,1,0,ROW($M$164)-ROW($M98)-1),0)),ROW($M$164)-ROW($M98)-1,MATCH(N$13,OFFSET($M98,1,0,ROW($M$164)-ROW($M98)-1),0)-1),0))</f>
        <v>0</v>
      </c>
      <c r="O98" s="193">
        <f ca="1">IF($F99=-1,0,IF(O$13&lt;=$M98,IF(ISERROR(MATCH(O$13,OFFSET($M98,1,0,ROW($M$164)-ROW($M98)-1),0)),ROW($M$164)-ROW($M98)-1,MATCH(O$13,OFFSET($M98,1,0,ROW($M$164)-ROW($M98)-1),0)-1),0))</f>
        <v>0</v>
      </c>
      <c r="P98" s="193">
        <f ca="1">IF($F99=-1,0,IF(P$13&lt;=$M98,IF(ISERROR(MATCH(P$13,OFFSET($M98,1,0,ROW($M$164)-ROW($M98)-1),0)),ROW($M$164)-ROW($M98)-1,MATCH(P$13,OFFSET($M98,1,0,ROW($M$164)-ROW($M98)-1),0)-1),0))</f>
        <v>0</v>
      </c>
      <c r="Q98" s="193">
        <f ca="1">IF($F99=-1,0,IF(Q$13&lt;=$M98,IF(ISERROR(MATCH(Q$13,OFFSET($M98,1,0,ROW($M$164)-ROW($M98)-1),0)),ROW($M$164)-ROW($M98)-1,MATCH(Q$13,OFFSET($M98,1,0,ROW($M$164)-ROW($M98)-1),0)-1),0))</f>
        <v>0</v>
      </c>
      <c r="R98" s="193">
        <f t="shared" ref="R98" ca="1" si="173">MIN(OFFSET(M98,0,1,,M98))</f>
        <v>0</v>
      </c>
      <c r="S98" s="194" t="str">
        <f ca="1">IF($F99=0,OFFSET(ORÇAMENTO!X$15,$F98,0),IF($F99&lt;&gt;-1,OFFSET(QCI!$O$13,$F99,0),""))</f>
        <v/>
      </c>
      <c r="T98" s="195" t="s">
        <v>785</v>
      </c>
      <c r="U98" s="188" t="e" cm="1">
        <f t="array" aca="1" ref="U98" ca="1">IF(AND($R98=2,ACOMPANHAMENTO="BM"),ROUND(U99,4),U100/$S98)</f>
        <v>#VALUE!</v>
      </c>
      <c r="V98" s="188" t="e" cm="1">
        <f t="array" aca="1" ref="V98" ca="1">IF(AND($R98=2,ACOMPANHAMENTO="BM"),ROUND(V99,4),V100/$S98)</f>
        <v>#VALUE!</v>
      </c>
      <c r="W98" s="188" t="e" cm="1">
        <f t="array" aca="1" ref="W98" ca="1">IF(AND($R98=2,ACOMPANHAMENTO="BM"),ROUND(W99,4),W100/$S98)</f>
        <v>#VALUE!</v>
      </c>
      <c r="X98" s="188" t="e" cm="1">
        <f t="array" aca="1" ref="X98" ca="1">IF(AND($R98=2,ACOMPANHAMENTO="BM"),ROUND(X99,4),X100/$S98)</f>
        <v>#VALUE!</v>
      </c>
      <c r="Y98" s="188" t="e" cm="1">
        <f t="array" aca="1" ref="Y98" ca="1">IF(AND($R98=2,ACOMPANHAMENTO="BM"),ROUND(Y99,4),Y100/$S98)</f>
        <v>#VALUE!</v>
      </c>
      <c r="Z98" s="188" t="e" cm="1">
        <f t="array" aca="1" ref="Z98" ca="1">IF(AND($R98=2,ACOMPANHAMENTO="BM"),ROUND(Z99,4),Z100/$S98)</f>
        <v>#VALUE!</v>
      </c>
      <c r="AA98" s="188" t="e" cm="1">
        <f t="array" aca="1" ref="AA98" ca="1">IF(AND($R98=2,ACOMPANHAMENTO="BM"),ROUND(AA99,4),AA100/$S98)</f>
        <v>#VALUE!</v>
      </c>
      <c r="AB98" s="188" t="e" cm="1">
        <f t="array" aca="1" ref="AB98" ca="1">IF(AND($R98=2,ACOMPANHAMENTO="BM"),ROUND(AB99,4),AB100/$S98)</f>
        <v>#VALUE!</v>
      </c>
      <c r="AC98" s="188" t="e" cm="1">
        <f t="array" aca="1" ref="AC98" ca="1">IF(AND($R98=2,ACOMPANHAMENTO="BM"),ROUND(AC99,4),AC100/$S98)</f>
        <v>#VALUE!</v>
      </c>
      <c r="AD98" s="188" t="e" cm="1">
        <f t="array" aca="1" ref="AD98" ca="1">IF(AND($R98=2,ACOMPANHAMENTO="BM"),ROUND(AD99,4),AD100/$S98)</f>
        <v>#VALUE!</v>
      </c>
      <c r="AE98" s="188" t="e" cm="1">
        <f t="array" aca="1" ref="AE98" ca="1">IF(AND($R98=2,ACOMPANHAMENTO="BM"),ROUND(AE99,4),AE100/$S98)</f>
        <v>#VALUE!</v>
      </c>
      <c r="AF98" s="188" t="e" cm="1">
        <f t="array" aca="1" ref="AF98" ca="1">IF(AND($R98=2,ACOMPANHAMENTO="BM"),ROUND(AF99,4),AF100/$S98)</f>
        <v>#VALUE!</v>
      </c>
      <c r="AG98" s="534"/>
    </row>
    <row r="99" spans="1:33" ht="12.75" customHeight="1" x14ac:dyDescent="0.2">
      <c r="E99" s="587"/>
      <c r="F99" s="185">
        <f ca="1">IF(ISERROR(F98),IF(1+COUNTIF($M$13:OFFSET(M98,-1,0),1)&lt;=MAX(QCI!$D$13:$D$24),1+COUNTIF($M$13:OFFSET(M98,-1,0),1),-1),0)</f>
        <v>-1</v>
      </c>
      <c r="G99" s="185" t="str" cm="1">
        <f t="array" aca="1" ref="G99" ca="1">IF(ACOMPANHAMENTO="BM",OFFSET(G99,-1,0),"")</f>
        <v/>
      </c>
      <c r="H99" s="196" t="str" cm="1">
        <f t="array" aca="1" ref="H99" ca="1">IF(OR(S98=0,S98=""),"vazia",IF(AND(OR(ACOMPANHAMENTO="PLE",$R98&lt;&gt;2),$F99=0),"calculada","--&gt;"))</f>
        <v>vazia</v>
      </c>
      <c r="I99" s="197"/>
      <c r="J99" s="198" t="str">
        <f t="shared" ref="J99" ca="1" si="174">IF(AND(H98&lt;&gt;0,ISNUMBER(H98)),"PREENCHA ESTA LINHA --&gt;","")</f>
        <v/>
      </c>
      <c r="K99" s="198"/>
      <c r="L99" s="198"/>
      <c r="M99" s="199"/>
      <c r="N99" s="199"/>
      <c r="O99" s="199"/>
      <c r="P99" s="199"/>
      <c r="Q99" s="199"/>
      <c r="R99" s="199"/>
      <c r="S99" s="200"/>
      <c r="T99" s="201"/>
      <c r="U99" s="587"/>
      <c r="V99" s="587"/>
      <c r="W99" s="587"/>
      <c r="X99" s="587"/>
      <c r="Y99" s="587"/>
      <c r="Z99" s="587"/>
      <c r="AA99" s="587"/>
      <c r="AB99" s="587"/>
      <c r="AC99" s="587"/>
      <c r="AD99" s="587"/>
      <c r="AE99" s="587"/>
      <c r="AF99" s="587"/>
      <c r="AG99" s="534"/>
    </row>
    <row r="100" spans="1:33" ht="12.75" customHeight="1" x14ac:dyDescent="0.2">
      <c r="D100" s="533"/>
      <c r="E100" s="202" cm="1">
        <f t="array" aca="1" ref="E100" ca="1">IF($R98=2,
         IF(AND(ACOMPANHAMENTO="PLE",ISNUMBER($F98)),
                SUMIF((OFFSET(CÁLCULO!$AM$15:$AW$15,$F98,0,OFFSET(ORÇAMENTO!$D$15,CRONO!$F98,0))),CRONO!E$12,OFFSET(CÁLCULO!$AB$15:$AL$15,$F98,0,OFFSET(ORÇAMENTO!$D$15,CRONO!$F98,0)))
                +IF(AND($F100&lt;&gt;"",$F100&lt;&gt;0),
                        SUMIF(CÁLCULO!$AM$15:$AW$44,CRONO!E$12,CÁLCULO!$AB$15:$AL$44)/(ORÇAMENTO!$X$15-CÁLCULO.TotalAdmLocal)*CRONO!$F100,
                        0),
                 E99*$S98),
          SUMIF(OFFSET($S100,1,0,$R98-2),($M98+1)&amp;"$",OFFSET(E100,1,0,$R98-2)))</f>
        <v>0</v>
      </c>
      <c r="F100" s="185" t="str">
        <f ca="1">IF(OR($R98&lt;&gt;2,AUTOEVENTO&lt;&gt;"manual",$F99&gt;0),"",
        IF(Import.TipoArredondamento="Tradicional",
              SUMIF(OFFSET(CÁLCULO!$M$15,CRONO!$F98,0,OFFSET(ORÇAMENTO!$D$15,CRONO!$F98,0)),1,OFFSET(ORÇAMENTO!$X$15,CRONO!$F98,0,OFFSET(ORÇAMENTO!$D$15,CRONO!$F98,0))),
              0))</f>
        <v/>
      </c>
      <c r="H100" s="203"/>
      <c r="S100" s="204" t="str">
        <f t="shared" ref="S100" ca="1" si="175">M98&amp;"$"</f>
        <v>1$</v>
      </c>
      <c r="T100" s="205"/>
      <c r="U100" s="202" cm="1">
        <f t="array" aca="1" ref="U100" ca="1">IF($R98=2,
         IF(AND(ACOMPANHAMENTO="PLE",ISNUMBER($F98)),
                SUMIF((OFFSET(CÁLCULO!$AM$15:$AW$15,$F98,0,OFFSET(ORÇAMENTO!$D$15,CRONO!$F98,0))),CRONO!U$12,OFFSET(CÁLCULO!$AB$15:$AL$15,$F98,0,OFFSET(ORÇAMENTO!$D$15,CRONO!$F98,0)))
                +IF(AND($F100&lt;&gt;"",$F100&lt;&gt;0),
                        SUMIF(CÁLCULO!$AM$15:$AW$44,CRONO!U$12,CÁLCULO!$AB$15:$AL$44)/(ORÇAMENTO!$X$15-CÁLCULO.TotalAdmLocal)*CRONO!$F100,
                        0),
                 U99*$S98),
          SUMIF(OFFSET($S100,1,0,$R98-2),($M98+1)&amp;"$",OFFSET(U100,1,0,$R98-2)))</f>
        <v>0</v>
      </c>
      <c r="V100" s="202" cm="1">
        <f t="array" aca="1" ref="V100" ca="1">IF($R98=2,
         IF(AND(ACOMPANHAMENTO="PLE",ISNUMBER($F98)),
                SUMIF((OFFSET(CÁLCULO!$AM$15:$AW$15,$F98,0,OFFSET(ORÇAMENTO!$D$15,CRONO!$F98,0))),CRONO!V$12,OFFSET(CÁLCULO!$AB$15:$AL$15,$F98,0,OFFSET(ORÇAMENTO!$D$15,CRONO!$F98,0)))
                +IF(AND($F100&lt;&gt;"",$F100&lt;&gt;0),
                        SUMIF(CÁLCULO!$AM$15:$AW$44,CRONO!V$12,CÁLCULO!$AB$15:$AL$44)/(ORÇAMENTO!$X$15-CÁLCULO.TotalAdmLocal)*CRONO!$F100,
                        0),
                 V99*$S98),
          SUMIF(OFFSET($S100,1,0,$R98-2),($M98+1)&amp;"$",OFFSET(V100,1,0,$R98-2)))</f>
        <v>0</v>
      </c>
      <c r="W100" s="202" cm="1">
        <f t="array" aca="1" ref="W100" ca="1">IF($R98=2,
         IF(AND(ACOMPANHAMENTO="PLE",ISNUMBER($F98)),
                SUMIF((OFFSET(CÁLCULO!$AM$15:$AW$15,$F98,0,OFFSET(ORÇAMENTO!$D$15,CRONO!$F98,0))),CRONO!W$12,OFFSET(CÁLCULO!$AB$15:$AL$15,$F98,0,OFFSET(ORÇAMENTO!$D$15,CRONO!$F98,0)))
                +IF(AND($F100&lt;&gt;"",$F100&lt;&gt;0),
                        SUMIF(CÁLCULO!$AM$15:$AW$44,CRONO!W$12,CÁLCULO!$AB$15:$AL$44)/(ORÇAMENTO!$X$15-CÁLCULO.TotalAdmLocal)*CRONO!$F100,
                        0),
                 W99*$S98),
          SUMIF(OFFSET($S100,1,0,$R98-2),($M98+1)&amp;"$",OFFSET(W100,1,0,$R98-2)))</f>
        <v>0</v>
      </c>
      <c r="X100" s="202" cm="1">
        <f t="array" aca="1" ref="X100" ca="1">IF($R98=2,
         IF(AND(ACOMPANHAMENTO="PLE",ISNUMBER($F98)),
                SUMIF((OFFSET(CÁLCULO!$AM$15:$AW$15,$F98,0,OFFSET(ORÇAMENTO!$D$15,CRONO!$F98,0))),CRONO!X$12,OFFSET(CÁLCULO!$AB$15:$AL$15,$F98,0,OFFSET(ORÇAMENTO!$D$15,CRONO!$F98,0)))
                +IF(AND($F100&lt;&gt;"",$F100&lt;&gt;0),
                        SUMIF(CÁLCULO!$AM$15:$AW$44,CRONO!X$12,CÁLCULO!$AB$15:$AL$44)/(ORÇAMENTO!$X$15-CÁLCULO.TotalAdmLocal)*CRONO!$F100,
                        0),
                 X99*$S98),
          SUMIF(OFFSET($S100,1,0,$R98-2),($M98+1)&amp;"$",OFFSET(X100,1,0,$R98-2)))</f>
        <v>0</v>
      </c>
      <c r="Y100" s="202" cm="1">
        <f t="array" aca="1" ref="Y100" ca="1">IF($R98=2,
         IF(AND(ACOMPANHAMENTO="PLE",ISNUMBER($F98)),
                SUMIF((OFFSET(CÁLCULO!$AM$15:$AW$15,$F98,0,OFFSET(ORÇAMENTO!$D$15,CRONO!$F98,0))),CRONO!Y$12,OFFSET(CÁLCULO!$AB$15:$AL$15,$F98,0,OFFSET(ORÇAMENTO!$D$15,CRONO!$F98,0)))
                +IF(AND($F100&lt;&gt;"",$F100&lt;&gt;0),
                        SUMIF(CÁLCULO!$AM$15:$AW$44,CRONO!Y$12,CÁLCULO!$AB$15:$AL$44)/(ORÇAMENTO!$X$15-CÁLCULO.TotalAdmLocal)*CRONO!$F100,
                        0),
                 Y99*$S98),
          SUMIF(OFFSET($S100,1,0,$R98-2),($M98+1)&amp;"$",OFFSET(Y100,1,0,$R98-2)))</f>
        <v>0</v>
      </c>
      <c r="Z100" s="202" cm="1">
        <f t="array" aca="1" ref="Z100" ca="1">IF($R98=2,
         IF(AND(ACOMPANHAMENTO="PLE",ISNUMBER($F98)),
                SUMIF((OFFSET(CÁLCULO!$AM$15:$AW$15,$F98,0,OFFSET(ORÇAMENTO!$D$15,CRONO!$F98,0))),CRONO!Z$12,OFFSET(CÁLCULO!$AB$15:$AL$15,$F98,0,OFFSET(ORÇAMENTO!$D$15,CRONO!$F98,0)))
                +IF(AND($F100&lt;&gt;"",$F100&lt;&gt;0),
                        SUMIF(CÁLCULO!$AM$15:$AW$44,CRONO!Z$12,CÁLCULO!$AB$15:$AL$44)/(ORÇAMENTO!$X$15-CÁLCULO.TotalAdmLocal)*CRONO!$F100,
                        0),
                 Z99*$S98),
          SUMIF(OFFSET($S100,1,0,$R98-2),($M98+1)&amp;"$",OFFSET(Z100,1,0,$R98-2)))</f>
        <v>0</v>
      </c>
      <c r="AA100" s="202" cm="1">
        <f t="array" aca="1" ref="AA100" ca="1">IF($R98=2,
         IF(AND(ACOMPANHAMENTO="PLE",ISNUMBER($F98)),
                SUMIF((OFFSET(CÁLCULO!$AM$15:$AW$15,$F98,0,OFFSET(ORÇAMENTO!$D$15,CRONO!$F98,0))),CRONO!AA$12,OFFSET(CÁLCULO!$AB$15:$AL$15,$F98,0,OFFSET(ORÇAMENTO!$D$15,CRONO!$F98,0)))
                +IF(AND($F100&lt;&gt;"",$F100&lt;&gt;0),
                        SUMIF(CÁLCULO!$AM$15:$AW$44,CRONO!AA$12,CÁLCULO!$AB$15:$AL$44)/(ORÇAMENTO!$X$15-CÁLCULO.TotalAdmLocal)*CRONO!$F100,
                        0),
                 AA99*$S98),
          SUMIF(OFFSET($S100,1,0,$R98-2),($M98+1)&amp;"$",OFFSET(AA100,1,0,$R98-2)))</f>
        <v>0</v>
      </c>
      <c r="AB100" s="202" cm="1">
        <f t="array" aca="1" ref="AB100" ca="1">IF($R98=2,
         IF(AND(ACOMPANHAMENTO="PLE",ISNUMBER($F98)),
                SUMIF((OFFSET(CÁLCULO!$AM$15:$AW$15,$F98,0,OFFSET(ORÇAMENTO!$D$15,CRONO!$F98,0))),CRONO!AB$12,OFFSET(CÁLCULO!$AB$15:$AL$15,$F98,0,OFFSET(ORÇAMENTO!$D$15,CRONO!$F98,0)))
                +IF(AND($F100&lt;&gt;"",$F100&lt;&gt;0),
                        SUMIF(CÁLCULO!$AM$15:$AW$44,CRONO!AB$12,CÁLCULO!$AB$15:$AL$44)/(ORÇAMENTO!$X$15-CÁLCULO.TotalAdmLocal)*CRONO!$F100,
                        0),
                 AB99*$S98),
          SUMIF(OFFSET($S100,1,0,$R98-2),($M98+1)&amp;"$",OFFSET(AB100,1,0,$R98-2)))</f>
        <v>0</v>
      </c>
      <c r="AC100" s="202" cm="1">
        <f t="array" aca="1" ref="AC100" ca="1">IF($R98=2,
         IF(AND(ACOMPANHAMENTO="PLE",ISNUMBER($F98)),
                SUMIF((OFFSET(CÁLCULO!$AM$15:$AW$15,$F98,0,OFFSET(ORÇAMENTO!$D$15,CRONO!$F98,0))),CRONO!AC$12,OFFSET(CÁLCULO!$AB$15:$AL$15,$F98,0,OFFSET(ORÇAMENTO!$D$15,CRONO!$F98,0)))
                +IF(AND($F100&lt;&gt;"",$F100&lt;&gt;0),
                        SUMIF(CÁLCULO!$AM$15:$AW$44,CRONO!AC$12,CÁLCULO!$AB$15:$AL$44)/(ORÇAMENTO!$X$15-CÁLCULO.TotalAdmLocal)*CRONO!$F100,
                        0),
                 AC99*$S98),
          SUMIF(OFFSET($S100,1,0,$R98-2),($M98+1)&amp;"$",OFFSET(AC100,1,0,$R98-2)))</f>
        <v>0</v>
      </c>
      <c r="AD100" s="202" cm="1">
        <f t="array" aca="1" ref="AD100" ca="1">IF($R98=2,
         IF(AND(ACOMPANHAMENTO="PLE",ISNUMBER($F98)),
                SUMIF((OFFSET(CÁLCULO!$AM$15:$AW$15,$F98,0,OFFSET(ORÇAMENTO!$D$15,CRONO!$F98,0))),CRONO!AD$12,OFFSET(CÁLCULO!$AB$15:$AL$15,$F98,0,OFFSET(ORÇAMENTO!$D$15,CRONO!$F98,0)))
                +IF(AND($F100&lt;&gt;"",$F100&lt;&gt;0),
                        SUMIF(CÁLCULO!$AM$15:$AW$44,CRONO!AD$12,CÁLCULO!$AB$15:$AL$44)/(ORÇAMENTO!$X$15-CÁLCULO.TotalAdmLocal)*CRONO!$F100,
                        0),
                 AD99*$S98),
          SUMIF(OFFSET($S100,1,0,$R98-2),($M98+1)&amp;"$",OFFSET(AD100,1,0,$R98-2)))</f>
        <v>0</v>
      </c>
      <c r="AE100" s="202" cm="1">
        <f t="array" aca="1" ref="AE100" ca="1">IF($R98=2,
         IF(AND(ACOMPANHAMENTO="PLE",ISNUMBER($F98)),
                SUMIF((OFFSET(CÁLCULO!$AM$15:$AW$15,$F98,0,OFFSET(ORÇAMENTO!$D$15,CRONO!$F98,0))),CRONO!AE$12,OFFSET(CÁLCULO!$AB$15:$AL$15,$F98,0,OFFSET(ORÇAMENTO!$D$15,CRONO!$F98,0)))
                +IF(AND($F100&lt;&gt;"",$F100&lt;&gt;0),
                        SUMIF(CÁLCULO!$AM$15:$AW$44,CRONO!AE$12,CÁLCULO!$AB$15:$AL$44)/(ORÇAMENTO!$X$15-CÁLCULO.TotalAdmLocal)*CRONO!$F100,
                        0),
                 AE99*$S98),
          SUMIF(OFFSET($S100,1,0,$R98-2),($M98+1)&amp;"$",OFFSET(AE100,1,0,$R98-2)))</f>
        <v>0</v>
      </c>
      <c r="AF100" s="202" cm="1">
        <f t="array" aca="1" ref="AF100" ca="1">IF($R98=2,
         IF(AND(ACOMPANHAMENTO="PLE",ISNUMBER($F98)),
                SUMIF((OFFSET(CÁLCULO!$AM$15:$AW$15,$F98,0,OFFSET(ORÇAMENTO!$D$15,CRONO!$F98,0))),CRONO!AF$12,OFFSET(CÁLCULO!$AB$15:$AL$15,$F98,0,OFFSET(ORÇAMENTO!$D$15,CRONO!$F98,0)))
                +IF(AND($F100&lt;&gt;"",$F100&lt;&gt;0),
                        SUMIF(CÁLCULO!$AM$15:$AW$44,CRONO!AF$12,CÁLCULO!$AB$15:$AL$44)/(ORÇAMENTO!$X$15-CÁLCULO.TotalAdmLocal)*CRONO!$F100,
                        0),
                 AF99*$S98),
          SUMIF(OFFSET($S100,1,0,$R98-2),($M98+1)&amp;"$",OFFSET(AF100,1,0,$R98-2)))</f>
        <v>0</v>
      </c>
      <c r="AG100" s="534"/>
    </row>
    <row r="101" spans="1:33" x14ac:dyDescent="0.2">
      <c r="A101" s="186" t="str">
        <f t="shared" ref="A101" ca="1" si="176">IF($M101&gt;1,_xlfn.CONCAT($I101," ",$J101),"")</f>
        <v/>
      </c>
      <c r="B101" s="185">
        <f t="shared" ref="B101" ca="1" si="177">OFFSET(B101,-3,0)+1</f>
        <v>30</v>
      </c>
      <c r="C101" s="185">
        <f ca="1">IF($R101&lt;&gt;2,0,IF($S101=0,1,IF(F102&gt;0,OFFSET(QCI!$M$13,SUBSTITUTE(F102,".",""),0),OFFSET(ORÇAMENTO!$AA$15,CRONO!$F101,0))/$S101))</f>
        <v>0</v>
      </c>
      <c r="D101" s="185">
        <f ca="1">IF($R101&lt;&gt;2,0,IF($S101=0,1,IF(F102&gt;0,OFFSET(QCI!$N$13,SUBSTITUTE(F102,".",""),0),OFFSET(ORÇAMENTO!$AB$15,CRONO!$F101,0))/$S101))</f>
        <v>0</v>
      </c>
      <c r="E101" s="188" t="e" cm="1">
        <f t="array" aca="1" ref="E101" ca="1">IF(AND($R101=2,ACOMPANHAMENTO="BM"),ROUND(E102,4),E103/$S101)</f>
        <v>#VALUE!</v>
      </c>
      <c r="F101" s="185" t="e" cm="1">
        <f t="array" aca="1" ref="F101" ca="1">IF(B101&lt;=ORÇAMENTO.MáximoListaCrono,MATCH(B101,ORÇAMENTO.ListaCrono,0),NA())</f>
        <v>#N/A</v>
      </c>
      <c r="G101" s="185" t="str">
        <f t="shared" ref="G101" ca="1" si="178">IF(AND($F102&lt;&gt;-1,$S101&gt;0),"F","")</f>
        <v/>
      </c>
      <c r="H101" s="189" t="str" cm="1">
        <f t="array" aca="1" ref="H101" ca="1">IF(OR(S101=0,S101=""),"Linha",IF(AND(OR(ACOMPANHAMENTO="PLE",$R101&lt;&gt;2),$F102=0),"Linha",ROUND(1-SUM(U101:AG101),4)))</f>
        <v>Linha</v>
      </c>
      <c r="I101" s="190" t="str">
        <f ca="1">IF($F102=0,OFFSET(ORÇAMENTO!O$15,$F101,0),IF($F102&lt;&gt;-1,OFFSET(QCI!$D$13,$F102,0),""))</f>
        <v/>
      </c>
      <c r="J101" s="191" t="str">
        <f ca="1">IF($F102=0,OFFSET(ORÇAMENTO!R$15,$F101,0),IF($F102&lt;&gt;-1,OFFSET(QCI!$G$13,$F102,0),""))</f>
        <v/>
      </c>
      <c r="K101" s="191"/>
      <c r="L101" s="191"/>
      <c r="M101" s="192">
        <f ca="1">IF($F102=0,OFFSET(ORÇAMENTO!C$15,$F101,0),1)</f>
        <v>1</v>
      </c>
      <c r="N101" s="193">
        <f ca="1">IF($F102=-1,0,IF(N$13&lt;=$M101,IF(ISERROR(MATCH(N$13,OFFSET($M101,1,0,ROW($M$164)-ROW($M101)-1),0)),ROW($M$164)-ROW($M101)-1,MATCH(N$13,OFFSET($M101,1,0,ROW($M$164)-ROW($M101)-1),0)-1),0))</f>
        <v>0</v>
      </c>
      <c r="O101" s="193">
        <f ca="1">IF($F102=-1,0,IF(O$13&lt;=$M101,IF(ISERROR(MATCH(O$13,OFFSET($M101,1,0,ROW($M$164)-ROW($M101)-1),0)),ROW($M$164)-ROW($M101)-1,MATCH(O$13,OFFSET($M101,1,0,ROW($M$164)-ROW($M101)-1),0)-1),0))</f>
        <v>0</v>
      </c>
      <c r="P101" s="193">
        <f ca="1">IF($F102=-1,0,IF(P$13&lt;=$M101,IF(ISERROR(MATCH(P$13,OFFSET($M101,1,0,ROW($M$164)-ROW($M101)-1),0)),ROW($M$164)-ROW($M101)-1,MATCH(P$13,OFFSET($M101,1,0,ROW($M$164)-ROW($M101)-1),0)-1),0))</f>
        <v>0</v>
      </c>
      <c r="Q101" s="193">
        <f ca="1">IF($F102=-1,0,IF(Q$13&lt;=$M101,IF(ISERROR(MATCH(Q$13,OFFSET($M101,1,0,ROW($M$164)-ROW($M101)-1),0)),ROW($M$164)-ROW($M101)-1,MATCH(Q$13,OFFSET($M101,1,0,ROW($M$164)-ROW($M101)-1),0)-1),0))</f>
        <v>0</v>
      </c>
      <c r="R101" s="193">
        <f t="shared" ref="R101" ca="1" si="179">MIN(OFFSET(M101,0,1,,M101))</f>
        <v>0</v>
      </c>
      <c r="S101" s="194" t="str">
        <f ca="1">IF($F102=0,OFFSET(ORÇAMENTO!X$15,$F101,0),IF($F102&lt;&gt;-1,OFFSET(QCI!$O$13,$F102,0),""))</f>
        <v/>
      </c>
      <c r="T101" s="195" t="s">
        <v>785</v>
      </c>
      <c r="U101" s="188" t="e" cm="1">
        <f t="array" aca="1" ref="U101" ca="1">IF(AND($R101=2,ACOMPANHAMENTO="BM"),ROUND(U102,4),U103/$S101)</f>
        <v>#VALUE!</v>
      </c>
      <c r="V101" s="188" t="e" cm="1">
        <f t="array" aca="1" ref="V101" ca="1">IF(AND($R101=2,ACOMPANHAMENTO="BM"),ROUND(V102,4),V103/$S101)</f>
        <v>#VALUE!</v>
      </c>
      <c r="W101" s="188" t="e" cm="1">
        <f t="array" aca="1" ref="W101" ca="1">IF(AND($R101=2,ACOMPANHAMENTO="BM"),ROUND(W102,4),W103/$S101)</f>
        <v>#VALUE!</v>
      </c>
      <c r="X101" s="188" t="e" cm="1">
        <f t="array" aca="1" ref="X101" ca="1">IF(AND($R101=2,ACOMPANHAMENTO="BM"),ROUND(X102,4),X103/$S101)</f>
        <v>#VALUE!</v>
      </c>
      <c r="Y101" s="188" t="e" cm="1">
        <f t="array" aca="1" ref="Y101" ca="1">IF(AND($R101=2,ACOMPANHAMENTO="BM"),ROUND(Y102,4),Y103/$S101)</f>
        <v>#VALUE!</v>
      </c>
      <c r="Z101" s="188" t="e" cm="1">
        <f t="array" aca="1" ref="Z101" ca="1">IF(AND($R101=2,ACOMPANHAMENTO="BM"),ROUND(Z102,4),Z103/$S101)</f>
        <v>#VALUE!</v>
      </c>
      <c r="AA101" s="188" t="e" cm="1">
        <f t="array" aca="1" ref="AA101" ca="1">IF(AND($R101=2,ACOMPANHAMENTO="BM"),ROUND(AA102,4),AA103/$S101)</f>
        <v>#VALUE!</v>
      </c>
      <c r="AB101" s="188" t="e" cm="1">
        <f t="array" aca="1" ref="AB101" ca="1">IF(AND($R101=2,ACOMPANHAMENTO="BM"),ROUND(AB102,4),AB103/$S101)</f>
        <v>#VALUE!</v>
      </c>
      <c r="AC101" s="188" t="e" cm="1">
        <f t="array" aca="1" ref="AC101" ca="1">IF(AND($R101=2,ACOMPANHAMENTO="BM"),ROUND(AC102,4),AC103/$S101)</f>
        <v>#VALUE!</v>
      </c>
      <c r="AD101" s="188" t="e" cm="1">
        <f t="array" aca="1" ref="AD101" ca="1">IF(AND($R101=2,ACOMPANHAMENTO="BM"),ROUND(AD102,4),AD103/$S101)</f>
        <v>#VALUE!</v>
      </c>
      <c r="AE101" s="188" t="e" cm="1">
        <f t="array" aca="1" ref="AE101" ca="1">IF(AND($R101=2,ACOMPANHAMENTO="BM"),ROUND(AE102,4),AE103/$S101)</f>
        <v>#VALUE!</v>
      </c>
      <c r="AF101" s="188" t="e" cm="1">
        <f t="array" aca="1" ref="AF101" ca="1">IF(AND($R101=2,ACOMPANHAMENTO="BM"),ROUND(AF102,4),AF103/$S101)</f>
        <v>#VALUE!</v>
      </c>
      <c r="AG101" s="534"/>
    </row>
    <row r="102" spans="1:33" ht="12.75" customHeight="1" x14ac:dyDescent="0.2">
      <c r="E102" s="587"/>
      <c r="F102" s="185">
        <f ca="1">IF(ISERROR(F101),IF(1+COUNTIF($M$13:OFFSET(M101,-1,0),1)&lt;=MAX(QCI!$D$13:$D$24),1+COUNTIF($M$13:OFFSET(M101,-1,0),1),-1),0)</f>
        <v>-1</v>
      </c>
      <c r="G102" s="185" t="str" cm="1">
        <f t="array" aca="1" ref="G102" ca="1">IF(ACOMPANHAMENTO="BM",OFFSET(G102,-1,0),"")</f>
        <v/>
      </c>
      <c r="H102" s="196" t="str" cm="1">
        <f t="array" aca="1" ref="H102" ca="1">IF(OR(S101=0,S101=""),"vazia",IF(AND(OR(ACOMPANHAMENTO="PLE",$R101&lt;&gt;2),$F102=0),"calculada","--&gt;"))</f>
        <v>vazia</v>
      </c>
      <c r="I102" s="197"/>
      <c r="J102" s="198" t="str">
        <f t="shared" ref="J102" ca="1" si="180">IF(AND(H101&lt;&gt;0,ISNUMBER(H101)),"PREENCHA ESTA LINHA --&gt;","")</f>
        <v/>
      </c>
      <c r="K102" s="198"/>
      <c r="L102" s="198"/>
      <c r="M102" s="199"/>
      <c r="N102" s="199"/>
      <c r="O102" s="199"/>
      <c r="P102" s="199"/>
      <c r="Q102" s="199"/>
      <c r="R102" s="199"/>
      <c r="S102" s="200"/>
      <c r="T102" s="201"/>
      <c r="U102" s="587"/>
      <c r="V102" s="587"/>
      <c r="W102" s="587"/>
      <c r="X102" s="587"/>
      <c r="Y102" s="587"/>
      <c r="Z102" s="587"/>
      <c r="AA102" s="587"/>
      <c r="AB102" s="587"/>
      <c r="AC102" s="587"/>
      <c r="AD102" s="587"/>
      <c r="AE102" s="587"/>
      <c r="AF102" s="587"/>
      <c r="AG102" s="534"/>
    </row>
    <row r="103" spans="1:33" ht="12.75" customHeight="1" x14ac:dyDescent="0.2">
      <c r="D103" s="533"/>
      <c r="E103" s="202" cm="1">
        <f t="array" aca="1" ref="E103" ca="1">IF($R101=2,
         IF(AND(ACOMPANHAMENTO="PLE",ISNUMBER($F101)),
                SUMIF((OFFSET(CÁLCULO!$AM$15:$AW$15,$F101,0,OFFSET(ORÇAMENTO!$D$15,CRONO!$F101,0))),CRONO!E$12,OFFSET(CÁLCULO!$AB$15:$AL$15,$F101,0,OFFSET(ORÇAMENTO!$D$15,CRONO!$F101,0)))
                +IF(AND($F103&lt;&gt;"",$F103&lt;&gt;0),
                        SUMIF(CÁLCULO!$AM$15:$AW$44,CRONO!E$12,CÁLCULO!$AB$15:$AL$44)/(ORÇAMENTO!$X$15-CÁLCULO.TotalAdmLocal)*CRONO!$F103,
                        0),
                 E102*$S101),
          SUMIF(OFFSET($S103,1,0,$R101-2),($M101+1)&amp;"$",OFFSET(E103,1,0,$R101-2)))</f>
        <v>0</v>
      </c>
      <c r="F103" s="185" t="str">
        <f ca="1">IF(OR($R101&lt;&gt;2,AUTOEVENTO&lt;&gt;"manual",$F102&gt;0),"",
        IF(Import.TipoArredondamento="Tradicional",
              SUMIF(OFFSET(CÁLCULO!$M$15,CRONO!$F101,0,OFFSET(ORÇAMENTO!$D$15,CRONO!$F101,0)),1,OFFSET(ORÇAMENTO!$X$15,CRONO!$F101,0,OFFSET(ORÇAMENTO!$D$15,CRONO!$F101,0))),
              0))</f>
        <v/>
      </c>
      <c r="H103" s="203"/>
      <c r="S103" s="204" t="str">
        <f t="shared" ref="S103" ca="1" si="181">M101&amp;"$"</f>
        <v>1$</v>
      </c>
      <c r="T103" s="205"/>
      <c r="U103" s="202" cm="1">
        <f t="array" aca="1" ref="U103" ca="1">IF($R101=2,
         IF(AND(ACOMPANHAMENTO="PLE",ISNUMBER($F101)),
                SUMIF((OFFSET(CÁLCULO!$AM$15:$AW$15,$F101,0,OFFSET(ORÇAMENTO!$D$15,CRONO!$F101,0))),CRONO!U$12,OFFSET(CÁLCULO!$AB$15:$AL$15,$F101,0,OFFSET(ORÇAMENTO!$D$15,CRONO!$F101,0)))
                +IF(AND($F103&lt;&gt;"",$F103&lt;&gt;0),
                        SUMIF(CÁLCULO!$AM$15:$AW$44,CRONO!U$12,CÁLCULO!$AB$15:$AL$44)/(ORÇAMENTO!$X$15-CÁLCULO.TotalAdmLocal)*CRONO!$F103,
                        0),
                 U102*$S101),
          SUMIF(OFFSET($S103,1,0,$R101-2),($M101+1)&amp;"$",OFFSET(U103,1,0,$R101-2)))</f>
        <v>0</v>
      </c>
      <c r="V103" s="202" cm="1">
        <f t="array" aca="1" ref="V103" ca="1">IF($R101=2,
         IF(AND(ACOMPANHAMENTO="PLE",ISNUMBER($F101)),
                SUMIF((OFFSET(CÁLCULO!$AM$15:$AW$15,$F101,0,OFFSET(ORÇAMENTO!$D$15,CRONO!$F101,0))),CRONO!V$12,OFFSET(CÁLCULO!$AB$15:$AL$15,$F101,0,OFFSET(ORÇAMENTO!$D$15,CRONO!$F101,0)))
                +IF(AND($F103&lt;&gt;"",$F103&lt;&gt;0),
                        SUMIF(CÁLCULO!$AM$15:$AW$44,CRONO!V$12,CÁLCULO!$AB$15:$AL$44)/(ORÇAMENTO!$X$15-CÁLCULO.TotalAdmLocal)*CRONO!$F103,
                        0),
                 V102*$S101),
          SUMIF(OFFSET($S103,1,0,$R101-2),($M101+1)&amp;"$",OFFSET(V103,1,0,$R101-2)))</f>
        <v>0</v>
      </c>
      <c r="W103" s="202" cm="1">
        <f t="array" aca="1" ref="W103" ca="1">IF($R101=2,
         IF(AND(ACOMPANHAMENTO="PLE",ISNUMBER($F101)),
                SUMIF((OFFSET(CÁLCULO!$AM$15:$AW$15,$F101,0,OFFSET(ORÇAMENTO!$D$15,CRONO!$F101,0))),CRONO!W$12,OFFSET(CÁLCULO!$AB$15:$AL$15,$F101,0,OFFSET(ORÇAMENTO!$D$15,CRONO!$F101,0)))
                +IF(AND($F103&lt;&gt;"",$F103&lt;&gt;0),
                        SUMIF(CÁLCULO!$AM$15:$AW$44,CRONO!W$12,CÁLCULO!$AB$15:$AL$44)/(ORÇAMENTO!$X$15-CÁLCULO.TotalAdmLocal)*CRONO!$F103,
                        0),
                 W102*$S101),
          SUMIF(OFFSET($S103,1,0,$R101-2),($M101+1)&amp;"$",OFFSET(W103,1,0,$R101-2)))</f>
        <v>0</v>
      </c>
      <c r="X103" s="202" cm="1">
        <f t="array" aca="1" ref="X103" ca="1">IF($R101=2,
         IF(AND(ACOMPANHAMENTO="PLE",ISNUMBER($F101)),
                SUMIF((OFFSET(CÁLCULO!$AM$15:$AW$15,$F101,0,OFFSET(ORÇAMENTO!$D$15,CRONO!$F101,0))),CRONO!X$12,OFFSET(CÁLCULO!$AB$15:$AL$15,$F101,0,OFFSET(ORÇAMENTO!$D$15,CRONO!$F101,0)))
                +IF(AND($F103&lt;&gt;"",$F103&lt;&gt;0),
                        SUMIF(CÁLCULO!$AM$15:$AW$44,CRONO!X$12,CÁLCULO!$AB$15:$AL$44)/(ORÇAMENTO!$X$15-CÁLCULO.TotalAdmLocal)*CRONO!$F103,
                        0),
                 X102*$S101),
          SUMIF(OFFSET($S103,1,0,$R101-2),($M101+1)&amp;"$",OFFSET(X103,1,0,$R101-2)))</f>
        <v>0</v>
      </c>
      <c r="Y103" s="202" cm="1">
        <f t="array" aca="1" ref="Y103" ca="1">IF($R101=2,
         IF(AND(ACOMPANHAMENTO="PLE",ISNUMBER($F101)),
                SUMIF((OFFSET(CÁLCULO!$AM$15:$AW$15,$F101,0,OFFSET(ORÇAMENTO!$D$15,CRONO!$F101,0))),CRONO!Y$12,OFFSET(CÁLCULO!$AB$15:$AL$15,$F101,0,OFFSET(ORÇAMENTO!$D$15,CRONO!$F101,0)))
                +IF(AND($F103&lt;&gt;"",$F103&lt;&gt;0),
                        SUMIF(CÁLCULO!$AM$15:$AW$44,CRONO!Y$12,CÁLCULO!$AB$15:$AL$44)/(ORÇAMENTO!$X$15-CÁLCULO.TotalAdmLocal)*CRONO!$F103,
                        0),
                 Y102*$S101),
          SUMIF(OFFSET($S103,1,0,$R101-2),($M101+1)&amp;"$",OFFSET(Y103,1,0,$R101-2)))</f>
        <v>0</v>
      </c>
      <c r="Z103" s="202" cm="1">
        <f t="array" aca="1" ref="Z103" ca="1">IF($R101=2,
         IF(AND(ACOMPANHAMENTO="PLE",ISNUMBER($F101)),
                SUMIF((OFFSET(CÁLCULO!$AM$15:$AW$15,$F101,0,OFFSET(ORÇAMENTO!$D$15,CRONO!$F101,0))),CRONO!Z$12,OFFSET(CÁLCULO!$AB$15:$AL$15,$F101,0,OFFSET(ORÇAMENTO!$D$15,CRONO!$F101,0)))
                +IF(AND($F103&lt;&gt;"",$F103&lt;&gt;0),
                        SUMIF(CÁLCULO!$AM$15:$AW$44,CRONO!Z$12,CÁLCULO!$AB$15:$AL$44)/(ORÇAMENTO!$X$15-CÁLCULO.TotalAdmLocal)*CRONO!$F103,
                        0),
                 Z102*$S101),
          SUMIF(OFFSET($S103,1,0,$R101-2),($M101+1)&amp;"$",OFFSET(Z103,1,0,$R101-2)))</f>
        <v>0</v>
      </c>
      <c r="AA103" s="202" cm="1">
        <f t="array" aca="1" ref="AA103" ca="1">IF($R101=2,
         IF(AND(ACOMPANHAMENTO="PLE",ISNUMBER($F101)),
                SUMIF((OFFSET(CÁLCULO!$AM$15:$AW$15,$F101,0,OFFSET(ORÇAMENTO!$D$15,CRONO!$F101,0))),CRONO!AA$12,OFFSET(CÁLCULO!$AB$15:$AL$15,$F101,0,OFFSET(ORÇAMENTO!$D$15,CRONO!$F101,0)))
                +IF(AND($F103&lt;&gt;"",$F103&lt;&gt;0),
                        SUMIF(CÁLCULO!$AM$15:$AW$44,CRONO!AA$12,CÁLCULO!$AB$15:$AL$44)/(ORÇAMENTO!$X$15-CÁLCULO.TotalAdmLocal)*CRONO!$F103,
                        0),
                 AA102*$S101),
          SUMIF(OFFSET($S103,1,0,$R101-2),($M101+1)&amp;"$",OFFSET(AA103,1,0,$R101-2)))</f>
        <v>0</v>
      </c>
      <c r="AB103" s="202" cm="1">
        <f t="array" aca="1" ref="AB103" ca="1">IF($R101=2,
         IF(AND(ACOMPANHAMENTO="PLE",ISNUMBER($F101)),
                SUMIF((OFFSET(CÁLCULO!$AM$15:$AW$15,$F101,0,OFFSET(ORÇAMENTO!$D$15,CRONO!$F101,0))),CRONO!AB$12,OFFSET(CÁLCULO!$AB$15:$AL$15,$F101,0,OFFSET(ORÇAMENTO!$D$15,CRONO!$F101,0)))
                +IF(AND($F103&lt;&gt;"",$F103&lt;&gt;0),
                        SUMIF(CÁLCULO!$AM$15:$AW$44,CRONO!AB$12,CÁLCULO!$AB$15:$AL$44)/(ORÇAMENTO!$X$15-CÁLCULO.TotalAdmLocal)*CRONO!$F103,
                        0),
                 AB102*$S101),
          SUMIF(OFFSET($S103,1,0,$R101-2),($M101+1)&amp;"$",OFFSET(AB103,1,0,$R101-2)))</f>
        <v>0</v>
      </c>
      <c r="AC103" s="202" cm="1">
        <f t="array" aca="1" ref="AC103" ca="1">IF($R101=2,
         IF(AND(ACOMPANHAMENTO="PLE",ISNUMBER($F101)),
                SUMIF((OFFSET(CÁLCULO!$AM$15:$AW$15,$F101,0,OFFSET(ORÇAMENTO!$D$15,CRONO!$F101,0))),CRONO!AC$12,OFFSET(CÁLCULO!$AB$15:$AL$15,$F101,0,OFFSET(ORÇAMENTO!$D$15,CRONO!$F101,0)))
                +IF(AND($F103&lt;&gt;"",$F103&lt;&gt;0),
                        SUMIF(CÁLCULO!$AM$15:$AW$44,CRONO!AC$12,CÁLCULO!$AB$15:$AL$44)/(ORÇAMENTO!$X$15-CÁLCULO.TotalAdmLocal)*CRONO!$F103,
                        0),
                 AC102*$S101),
          SUMIF(OFFSET($S103,1,0,$R101-2),($M101+1)&amp;"$",OFFSET(AC103,1,0,$R101-2)))</f>
        <v>0</v>
      </c>
      <c r="AD103" s="202" cm="1">
        <f t="array" aca="1" ref="AD103" ca="1">IF($R101=2,
         IF(AND(ACOMPANHAMENTO="PLE",ISNUMBER($F101)),
                SUMIF((OFFSET(CÁLCULO!$AM$15:$AW$15,$F101,0,OFFSET(ORÇAMENTO!$D$15,CRONO!$F101,0))),CRONO!AD$12,OFFSET(CÁLCULO!$AB$15:$AL$15,$F101,0,OFFSET(ORÇAMENTO!$D$15,CRONO!$F101,0)))
                +IF(AND($F103&lt;&gt;"",$F103&lt;&gt;0),
                        SUMIF(CÁLCULO!$AM$15:$AW$44,CRONO!AD$12,CÁLCULO!$AB$15:$AL$44)/(ORÇAMENTO!$X$15-CÁLCULO.TotalAdmLocal)*CRONO!$F103,
                        0),
                 AD102*$S101),
          SUMIF(OFFSET($S103,1,0,$R101-2),($M101+1)&amp;"$",OFFSET(AD103,1,0,$R101-2)))</f>
        <v>0</v>
      </c>
      <c r="AE103" s="202" cm="1">
        <f t="array" aca="1" ref="AE103" ca="1">IF($R101=2,
         IF(AND(ACOMPANHAMENTO="PLE",ISNUMBER($F101)),
                SUMIF((OFFSET(CÁLCULO!$AM$15:$AW$15,$F101,0,OFFSET(ORÇAMENTO!$D$15,CRONO!$F101,0))),CRONO!AE$12,OFFSET(CÁLCULO!$AB$15:$AL$15,$F101,0,OFFSET(ORÇAMENTO!$D$15,CRONO!$F101,0)))
                +IF(AND($F103&lt;&gt;"",$F103&lt;&gt;0),
                        SUMIF(CÁLCULO!$AM$15:$AW$44,CRONO!AE$12,CÁLCULO!$AB$15:$AL$44)/(ORÇAMENTO!$X$15-CÁLCULO.TotalAdmLocal)*CRONO!$F103,
                        0),
                 AE102*$S101),
          SUMIF(OFFSET($S103,1,0,$R101-2),($M101+1)&amp;"$",OFFSET(AE103,1,0,$R101-2)))</f>
        <v>0</v>
      </c>
      <c r="AF103" s="202" cm="1">
        <f t="array" aca="1" ref="AF103" ca="1">IF($R101=2,
         IF(AND(ACOMPANHAMENTO="PLE",ISNUMBER($F101)),
                SUMIF((OFFSET(CÁLCULO!$AM$15:$AW$15,$F101,0,OFFSET(ORÇAMENTO!$D$15,CRONO!$F101,0))),CRONO!AF$12,OFFSET(CÁLCULO!$AB$15:$AL$15,$F101,0,OFFSET(ORÇAMENTO!$D$15,CRONO!$F101,0)))
                +IF(AND($F103&lt;&gt;"",$F103&lt;&gt;0),
                        SUMIF(CÁLCULO!$AM$15:$AW$44,CRONO!AF$12,CÁLCULO!$AB$15:$AL$44)/(ORÇAMENTO!$X$15-CÁLCULO.TotalAdmLocal)*CRONO!$F103,
                        0),
                 AF102*$S101),
          SUMIF(OFFSET($S103,1,0,$R101-2),($M101+1)&amp;"$",OFFSET(AF103,1,0,$R101-2)))</f>
        <v>0</v>
      </c>
      <c r="AG103" s="534"/>
    </row>
    <row r="104" spans="1:33" x14ac:dyDescent="0.2">
      <c r="A104" s="186" t="str">
        <f t="shared" ref="A104" ca="1" si="182">IF($M104&gt;1,_xlfn.CONCAT($I104," ",$J104),"")</f>
        <v/>
      </c>
      <c r="B104" s="185">
        <f t="shared" ref="B104" ca="1" si="183">OFFSET(B104,-3,0)+1</f>
        <v>31</v>
      </c>
      <c r="C104" s="185">
        <f ca="1">IF($R104&lt;&gt;2,0,IF($S104=0,1,IF(F105&gt;0,OFFSET(QCI!$M$13,SUBSTITUTE(F105,".",""),0),OFFSET(ORÇAMENTO!$AA$15,CRONO!$F104,0))/$S104))</f>
        <v>0</v>
      </c>
      <c r="D104" s="185">
        <f ca="1">IF($R104&lt;&gt;2,0,IF($S104=0,1,IF(F105&gt;0,OFFSET(QCI!$N$13,SUBSTITUTE(F105,".",""),0),OFFSET(ORÇAMENTO!$AB$15,CRONO!$F104,0))/$S104))</f>
        <v>0</v>
      </c>
      <c r="E104" s="188" t="e" cm="1">
        <f t="array" aca="1" ref="E104" ca="1">IF(AND($R104=2,ACOMPANHAMENTO="BM"),ROUND(E105,4),E106/$S104)</f>
        <v>#VALUE!</v>
      </c>
      <c r="F104" s="185" t="e" cm="1">
        <f t="array" aca="1" ref="F104" ca="1">IF(B104&lt;=ORÇAMENTO.MáximoListaCrono,MATCH(B104,ORÇAMENTO.ListaCrono,0),NA())</f>
        <v>#N/A</v>
      </c>
      <c r="G104" s="185" t="str">
        <f t="shared" ref="G104" ca="1" si="184">IF(AND($F105&lt;&gt;-1,$S104&gt;0),"F","")</f>
        <v/>
      </c>
      <c r="H104" s="189" t="str" cm="1">
        <f t="array" aca="1" ref="H104" ca="1">IF(OR(S104=0,S104=""),"Linha",IF(AND(OR(ACOMPANHAMENTO="PLE",$R104&lt;&gt;2),$F105=0),"Linha",ROUND(1-SUM(U104:AG104),4)))</f>
        <v>Linha</v>
      </c>
      <c r="I104" s="190" t="str">
        <f ca="1">IF($F105=0,OFFSET(ORÇAMENTO!O$15,$F104,0),IF($F105&lt;&gt;-1,OFFSET(QCI!$D$13,$F105,0),""))</f>
        <v/>
      </c>
      <c r="J104" s="191" t="str">
        <f ca="1">IF($F105=0,OFFSET(ORÇAMENTO!R$15,$F104,0),IF($F105&lt;&gt;-1,OFFSET(QCI!$G$13,$F105,0),""))</f>
        <v/>
      </c>
      <c r="K104" s="191"/>
      <c r="L104" s="191"/>
      <c r="M104" s="192">
        <f ca="1">IF($F105=0,OFFSET(ORÇAMENTO!C$15,$F104,0),1)</f>
        <v>1</v>
      </c>
      <c r="N104" s="193">
        <f ca="1">IF($F105=-1,0,IF(N$13&lt;=$M104,IF(ISERROR(MATCH(N$13,OFFSET($M104,1,0,ROW($M$164)-ROW($M104)-1),0)),ROW($M$164)-ROW($M104)-1,MATCH(N$13,OFFSET($M104,1,0,ROW($M$164)-ROW($M104)-1),0)-1),0))</f>
        <v>0</v>
      </c>
      <c r="O104" s="193">
        <f ca="1">IF($F105=-1,0,IF(O$13&lt;=$M104,IF(ISERROR(MATCH(O$13,OFFSET($M104,1,0,ROW($M$164)-ROW($M104)-1),0)),ROW($M$164)-ROW($M104)-1,MATCH(O$13,OFFSET($M104,1,0,ROW($M$164)-ROW($M104)-1),0)-1),0))</f>
        <v>0</v>
      </c>
      <c r="P104" s="193">
        <f ca="1">IF($F105=-1,0,IF(P$13&lt;=$M104,IF(ISERROR(MATCH(P$13,OFFSET($M104,1,0,ROW($M$164)-ROW($M104)-1),0)),ROW($M$164)-ROW($M104)-1,MATCH(P$13,OFFSET($M104,1,0,ROW($M$164)-ROW($M104)-1),0)-1),0))</f>
        <v>0</v>
      </c>
      <c r="Q104" s="193">
        <f ca="1">IF($F105=-1,0,IF(Q$13&lt;=$M104,IF(ISERROR(MATCH(Q$13,OFFSET($M104,1,0,ROW($M$164)-ROW($M104)-1),0)),ROW($M$164)-ROW($M104)-1,MATCH(Q$13,OFFSET($M104,1,0,ROW($M$164)-ROW($M104)-1),0)-1),0))</f>
        <v>0</v>
      </c>
      <c r="R104" s="193">
        <f t="shared" ref="R104" ca="1" si="185">MIN(OFFSET(M104,0,1,,M104))</f>
        <v>0</v>
      </c>
      <c r="S104" s="194" t="str">
        <f ca="1">IF($F105=0,OFFSET(ORÇAMENTO!X$15,$F104,0),IF($F105&lt;&gt;-1,OFFSET(QCI!$O$13,$F105,0),""))</f>
        <v/>
      </c>
      <c r="T104" s="195" t="s">
        <v>785</v>
      </c>
      <c r="U104" s="188" t="e" cm="1">
        <f t="array" aca="1" ref="U104" ca="1">IF(AND($R104=2,ACOMPANHAMENTO="BM"),ROUND(U105,4),U106/$S104)</f>
        <v>#VALUE!</v>
      </c>
      <c r="V104" s="188" t="e" cm="1">
        <f t="array" aca="1" ref="V104" ca="1">IF(AND($R104=2,ACOMPANHAMENTO="BM"),ROUND(V105,4),V106/$S104)</f>
        <v>#VALUE!</v>
      </c>
      <c r="W104" s="188" t="e" cm="1">
        <f t="array" aca="1" ref="W104" ca="1">IF(AND($R104=2,ACOMPANHAMENTO="BM"),ROUND(W105,4),W106/$S104)</f>
        <v>#VALUE!</v>
      </c>
      <c r="X104" s="188" t="e" cm="1">
        <f t="array" aca="1" ref="X104" ca="1">IF(AND($R104=2,ACOMPANHAMENTO="BM"),ROUND(X105,4),X106/$S104)</f>
        <v>#VALUE!</v>
      </c>
      <c r="Y104" s="188" t="e" cm="1">
        <f t="array" aca="1" ref="Y104" ca="1">IF(AND($R104=2,ACOMPANHAMENTO="BM"),ROUND(Y105,4),Y106/$S104)</f>
        <v>#VALUE!</v>
      </c>
      <c r="Z104" s="188" t="e" cm="1">
        <f t="array" aca="1" ref="Z104" ca="1">IF(AND($R104=2,ACOMPANHAMENTO="BM"),ROUND(Z105,4),Z106/$S104)</f>
        <v>#VALUE!</v>
      </c>
      <c r="AA104" s="188" t="e" cm="1">
        <f t="array" aca="1" ref="AA104" ca="1">IF(AND($R104=2,ACOMPANHAMENTO="BM"),ROUND(AA105,4),AA106/$S104)</f>
        <v>#VALUE!</v>
      </c>
      <c r="AB104" s="188" t="e" cm="1">
        <f t="array" aca="1" ref="AB104" ca="1">IF(AND($R104=2,ACOMPANHAMENTO="BM"),ROUND(AB105,4),AB106/$S104)</f>
        <v>#VALUE!</v>
      </c>
      <c r="AC104" s="188" t="e" cm="1">
        <f t="array" aca="1" ref="AC104" ca="1">IF(AND($R104=2,ACOMPANHAMENTO="BM"),ROUND(AC105,4),AC106/$S104)</f>
        <v>#VALUE!</v>
      </c>
      <c r="AD104" s="188" t="e" cm="1">
        <f t="array" aca="1" ref="AD104" ca="1">IF(AND($R104=2,ACOMPANHAMENTO="BM"),ROUND(AD105,4),AD106/$S104)</f>
        <v>#VALUE!</v>
      </c>
      <c r="AE104" s="188" t="e" cm="1">
        <f t="array" aca="1" ref="AE104" ca="1">IF(AND($R104=2,ACOMPANHAMENTO="BM"),ROUND(AE105,4),AE106/$S104)</f>
        <v>#VALUE!</v>
      </c>
      <c r="AF104" s="188" t="e" cm="1">
        <f t="array" aca="1" ref="AF104" ca="1">IF(AND($R104=2,ACOMPANHAMENTO="BM"),ROUND(AF105,4),AF106/$S104)</f>
        <v>#VALUE!</v>
      </c>
      <c r="AG104" s="534"/>
    </row>
    <row r="105" spans="1:33" ht="12.75" customHeight="1" x14ac:dyDescent="0.2">
      <c r="E105" s="587"/>
      <c r="F105" s="185">
        <f ca="1">IF(ISERROR(F104),IF(1+COUNTIF($M$13:OFFSET(M104,-1,0),1)&lt;=MAX(QCI!$D$13:$D$24),1+COUNTIF($M$13:OFFSET(M104,-1,0),1),-1),0)</f>
        <v>-1</v>
      </c>
      <c r="G105" s="185" t="str" cm="1">
        <f t="array" aca="1" ref="G105" ca="1">IF(ACOMPANHAMENTO="BM",OFFSET(G105,-1,0),"")</f>
        <v/>
      </c>
      <c r="H105" s="196" t="str" cm="1">
        <f t="array" aca="1" ref="H105" ca="1">IF(OR(S104=0,S104=""),"vazia",IF(AND(OR(ACOMPANHAMENTO="PLE",$R104&lt;&gt;2),$F105=0),"calculada","--&gt;"))</f>
        <v>vazia</v>
      </c>
      <c r="I105" s="197"/>
      <c r="J105" s="198" t="str">
        <f t="shared" ref="J105" ca="1" si="186">IF(AND(H104&lt;&gt;0,ISNUMBER(H104)),"PREENCHA ESTA LINHA --&gt;","")</f>
        <v/>
      </c>
      <c r="K105" s="198"/>
      <c r="L105" s="198"/>
      <c r="M105" s="199"/>
      <c r="N105" s="199"/>
      <c r="O105" s="199"/>
      <c r="P105" s="199"/>
      <c r="Q105" s="199"/>
      <c r="R105" s="199"/>
      <c r="S105" s="200"/>
      <c r="T105" s="201"/>
      <c r="U105" s="587"/>
      <c r="V105" s="587"/>
      <c r="W105" s="587"/>
      <c r="X105" s="587"/>
      <c r="Y105" s="587"/>
      <c r="Z105" s="587"/>
      <c r="AA105" s="587"/>
      <c r="AB105" s="587"/>
      <c r="AC105" s="587"/>
      <c r="AD105" s="587"/>
      <c r="AE105" s="587"/>
      <c r="AF105" s="587"/>
      <c r="AG105" s="534"/>
    </row>
    <row r="106" spans="1:33" ht="12.75" customHeight="1" x14ac:dyDescent="0.2">
      <c r="D106" s="533"/>
      <c r="E106" s="202" cm="1">
        <f t="array" aca="1" ref="E106" ca="1">IF($R104=2,
         IF(AND(ACOMPANHAMENTO="PLE",ISNUMBER($F104)),
                SUMIF((OFFSET(CÁLCULO!$AM$15:$AW$15,$F104,0,OFFSET(ORÇAMENTO!$D$15,CRONO!$F104,0))),CRONO!E$12,OFFSET(CÁLCULO!$AB$15:$AL$15,$F104,0,OFFSET(ORÇAMENTO!$D$15,CRONO!$F104,0)))
                +IF(AND($F106&lt;&gt;"",$F106&lt;&gt;0),
                        SUMIF(CÁLCULO!$AM$15:$AW$44,CRONO!E$12,CÁLCULO!$AB$15:$AL$44)/(ORÇAMENTO!$X$15-CÁLCULO.TotalAdmLocal)*CRONO!$F106,
                        0),
                 E105*$S104),
          SUMIF(OFFSET($S106,1,0,$R104-2),($M104+1)&amp;"$",OFFSET(E106,1,0,$R104-2)))</f>
        <v>0</v>
      </c>
      <c r="F106" s="185" t="str">
        <f ca="1">IF(OR($R104&lt;&gt;2,AUTOEVENTO&lt;&gt;"manual",$F105&gt;0),"",
        IF(Import.TipoArredondamento="Tradicional",
              SUMIF(OFFSET(CÁLCULO!$M$15,CRONO!$F104,0,OFFSET(ORÇAMENTO!$D$15,CRONO!$F104,0)),1,OFFSET(ORÇAMENTO!$X$15,CRONO!$F104,0,OFFSET(ORÇAMENTO!$D$15,CRONO!$F104,0))),
              0))</f>
        <v/>
      </c>
      <c r="H106" s="203"/>
      <c r="S106" s="204" t="str">
        <f t="shared" ref="S106" ca="1" si="187">M104&amp;"$"</f>
        <v>1$</v>
      </c>
      <c r="T106" s="205"/>
      <c r="U106" s="202" cm="1">
        <f t="array" aca="1" ref="U106" ca="1">IF($R104=2,
         IF(AND(ACOMPANHAMENTO="PLE",ISNUMBER($F104)),
                SUMIF((OFFSET(CÁLCULO!$AM$15:$AW$15,$F104,0,OFFSET(ORÇAMENTO!$D$15,CRONO!$F104,0))),CRONO!U$12,OFFSET(CÁLCULO!$AB$15:$AL$15,$F104,0,OFFSET(ORÇAMENTO!$D$15,CRONO!$F104,0)))
                +IF(AND($F106&lt;&gt;"",$F106&lt;&gt;0),
                        SUMIF(CÁLCULO!$AM$15:$AW$44,CRONO!U$12,CÁLCULO!$AB$15:$AL$44)/(ORÇAMENTO!$X$15-CÁLCULO.TotalAdmLocal)*CRONO!$F106,
                        0),
                 U105*$S104),
          SUMIF(OFFSET($S106,1,0,$R104-2),($M104+1)&amp;"$",OFFSET(U106,1,0,$R104-2)))</f>
        <v>0</v>
      </c>
      <c r="V106" s="202" cm="1">
        <f t="array" aca="1" ref="V106" ca="1">IF($R104=2,
         IF(AND(ACOMPANHAMENTO="PLE",ISNUMBER($F104)),
                SUMIF((OFFSET(CÁLCULO!$AM$15:$AW$15,$F104,0,OFFSET(ORÇAMENTO!$D$15,CRONO!$F104,0))),CRONO!V$12,OFFSET(CÁLCULO!$AB$15:$AL$15,$F104,0,OFFSET(ORÇAMENTO!$D$15,CRONO!$F104,0)))
                +IF(AND($F106&lt;&gt;"",$F106&lt;&gt;0),
                        SUMIF(CÁLCULO!$AM$15:$AW$44,CRONO!V$12,CÁLCULO!$AB$15:$AL$44)/(ORÇAMENTO!$X$15-CÁLCULO.TotalAdmLocal)*CRONO!$F106,
                        0),
                 V105*$S104),
          SUMIF(OFFSET($S106,1,0,$R104-2),($M104+1)&amp;"$",OFFSET(V106,1,0,$R104-2)))</f>
        <v>0</v>
      </c>
      <c r="W106" s="202" cm="1">
        <f t="array" aca="1" ref="W106" ca="1">IF($R104=2,
         IF(AND(ACOMPANHAMENTO="PLE",ISNUMBER($F104)),
                SUMIF((OFFSET(CÁLCULO!$AM$15:$AW$15,$F104,0,OFFSET(ORÇAMENTO!$D$15,CRONO!$F104,0))),CRONO!W$12,OFFSET(CÁLCULO!$AB$15:$AL$15,$F104,0,OFFSET(ORÇAMENTO!$D$15,CRONO!$F104,0)))
                +IF(AND($F106&lt;&gt;"",$F106&lt;&gt;0),
                        SUMIF(CÁLCULO!$AM$15:$AW$44,CRONO!W$12,CÁLCULO!$AB$15:$AL$44)/(ORÇAMENTO!$X$15-CÁLCULO.TotalAdmLocal)*CRONO!$F106,
                        0),
                 W105*$S104),
          SUMIF(OFFSET($S106,1,0,$R104-2),($M104+1)&amp;"$",OFFSET(W106,1,0,$R104-2)))</f>
        <v>0</v>
      </c>
      <c r="X106" s="202" cm="1">
        <f t="array" aca="1" ref="X106" ca="1">IF($R104=2,
         IF(AND(ACOMPANHAMENTO="PLE",ISNUMBER($F104)),
                SUMIF((OFFSET(CÁLCULO!$AM$15:$AW$15,$F104,0,OFFSET(ORÇAMENTO!$D$15,CRONO!$F104,0))),CRONO!X$12,OFFSET(CÁLCULO!$AB$15:$AL$15,$F104,0,OFFSET(ORÇAMENTO!$D$15,CRONO!$F104,0)))
                +IF(AND($F106&lt;&gt;"",$F106&lt;&gt;0),
                        SUMIF(CÁLCULO!$AM$15:$AW$44,CRONO!X$12,CÁLCULO!$AB$15:$AL$44)/(ORÇAMENTO!$X$15-CÁLCULO.TotalAdmLocal)*CRONO!$F106,
                        0),
                 X105*$S104),
          SUMIF(OFFSET($S106,1,0,$R104-2),($M104+1)&amp;"$",OFFSET(X106,1,0,$R104-2)))</f>
        <v>0</v>
      </c>
      <c r="Y106" s="202" cm="1">
        <f t="array" aca="1" ref="Y106" ca="1">IF($R104=2,
         IF(AND(ACOMPANHAMENTO="PLE",ISNUMBER($F104)),
                SUMIF((OFFSET(CÁLCULO!$AM$15:$AW$15,$F104,0,OFFSET(ORÇAMENTO!$D$15,CRONO!$F104,0))),CRONO!Y$12,OFFSET(CÁLCULO!$AB$15:$AL$15,$F104,0,OFFSET(ORÇAMENTO!$D$15,CRONO!$F104,0)))
                +IF(AND($F106&lt;&gt;"",$F106&lt;&gt;0),
                        SUMIF(CÁLCULO!$AM$15:$AW$44,CRONO!Y$12,CÁLCULO!$AB$15:$AL$44)/(ORÇAMENTO!$X$15-CÁLCULO.TotalAdmLocal)*CRONO!$F106,
                        0),
                 Y105*$S104),
          SUMIF(OFFSET($S106,1,0,$R104-2),($M104+1)&amp;"$",OFFSET(Y106,1,0,$R104-2)))</f>
        <v>0</v>
      </c>
      <c r="Z106" s="202" cm="1">
        <f t="array" aca="1" ref="Z106" ca="1">IF($R104=2,
         IF(AND(ACOMPANHAMENTO="PLE",ISNUMBER($F104)),
                SUMIF((OFFSET(CÁLCULO!$AM$15:$AW$15,$F104,0,OFFSET(ORÇAMENTO!$D$15,CRONO!$F104,0))),CRONO!Z$12,OFFSET(CÁLCULO!$AB$15:$AL$15,$F104,0,OFFSET(ORÇAMENTO!$D$15,CRONO!$F104,0)))
                +IF(AND($F106&lt;&gt;"",$F106&lt;&gt;0),
                        SUMIF(CÁLCULO!$AM$15:$AW$44,CRONO!Z$12,CÁLCULO!$AB$15:$AL$44)/(ORÇAMENTO!$X$15-CÁLCULO.TotalAdmLocal)*CRONO!$F106,
                        0),
                 Z105*$S104),
          SUMIF(OFFSET($S106,1,0,$R104-2),($M104+1)&amp;"$",OFFSET(Z106,1,0,$R104-2)))</f>
        <v>0</v>
      </c>
      <c r="AA106" s="202" cm="1">
        <f t="array" aca="1" ref="AA106" ca="1">IF($R104=2,
         IF(AND(ACOMPANHAMENTO="PLE",ISNUMBER($F104)),
                SUMIF((OFFSET(CÁLCULO!$AM$15:$AW$15,$F104,0,OFFSET(ORÇAMENTO!$D$15,CRONO!$F104,0))),CRONO!AA$12,OFFSET(CÁLCULO!$AB$15:$AL$15,$F104,0,OFFSET(ORÇAMENTO!$D$15,CRONO!$F104,0)))
                +IF(AND($F106&lt;&gt;"",$F106&lt;&gt;0),
                        SUMIF(CÁLCULO!$AM$15:$AW$44,CRONO!AA$12,CÁLCULO!$AB$15:$AL$44)/(ORÇAMENTO!$X$15-CÁLCULO.TotalAdmLocal)*CRONO!$F106,
                        0),
                 AA105*$S104),
          SUMIF(OFFSET($S106,1,0,$R104-2),($M104+1)&amp;"$",OFFSET(AA106,1,0,$R104-2)))</f>
        <v>0</v>
      </c>
      <c r="AB106" s="202" cm="1">
        <f t="array" aca="1" ref="AB106" ca="1">IF($R104=2,
         IF(AND(ACOMPANHAMENTO="PLE",ISNUMBER($F104)),
                SUMIF((OFFSET(CÁLCULO!$AM$15:$AW$15,$F104,0,OFFSET(ORÇAMENTO!$D$15,CRONO!$F104,0))),CRONO!AB$12,OFFSET(CÁLCULO!$AB$15:$AL$15,$F104,0,OFFSET(ORÇAMENTO!$D$15,CRONO!$F104,0)))
                +IF(AND($F106&lt;&gt;"",$F106&lt;&gt;0),
                        SUMIF(CÁLCULO!$AM$15:$AW$44,CRONO!AB$12,CÁLCULO!$AB$15:$AL$44)/(ORÇAMENTO!$X$15-CÁLCULO.TotalAdmLocal)*CRONO!$F106,
                        0),
                 AB105*$S104),
          SUMIF(OFFSET($S106,1,0,$R104-2),($M104+1)&amp;"$",OFFSET(AB106,1,0,$R104-2)))</f>
        <v>0</v>
      </c>
      <c r="AC106" s="202" cm="1">
        <f t="array" aca="1" ref="AC106" ca="1">IF($R104=2,
         IF(AND(ACOMPANHAMENTO="PLE",ISNUMBER($F104)),
                SUMIF((OFFSET(CÁLCULO!$AM$15:$AW$15,$F104,0,OFFSET(ORÇAMENTO!$D$15,CRONO!$F104,0))),CRONO!AC$12,OFFSET(CÁLCULO!$AB$15:$AL$15,$F104,0,OFFSET(ORÇAMENTO!$D$15,CRONO!$F104,0)))
                +IF(AND($F106&lt;&gt;"",$F106&lt;&gt;0),
                        SUMIF(CÁLCULO!$AM$15:$AW$44,CRONO!AC$12,CÁLCULO!$AB$15:$AL$44)/(ORÇAMENTO!$X$15-CÁLCULO.TotalAdmLocal)*CRONO!$F106,
                        0),
                 AC105*$S104),
          SUMIF(OFFSET($S106,1,0,$R104-2),($M104+1)&amp;"$",OFFSET(AC106,1,0,$R104-2)))</f>
        <v>0</v>
      </c>
      <c r="AD106" s="202" cm="1">
        <f t="array" aca="1" ref="AD106" ca="1">IF($R104=2,
         IF(AND(ACOMPANHAMENTO="PLE",ISNUMBER($F104)),
                SUMIF((OFFSET(CÁLCULO!$AM$15:$AW$15,$F104,0,OFFSET(ORÇAMENTO!$D$15,CRONO!$F104,0))),CRONO!AD$12,OFFSET(CÁLCULO!$AB$15:$AL$15,$F104,0,OFFSET(ORÇAMENTO!$D$15,CRONO!$F104,0)))
                +IF(AND($F106&lt;&gt;"",$F106&lt;&gt;0),
                        SUMIF(CÁLCULO!$AM$15:$AW$44,CRONO!AD$12,CÁLCULO!$AB$15:$AL$44)/(ORÇAMENTO!$X$15-CÁLCULO.TotalAdmLocal)*CRONO!$F106,
                        0),
                 AD105*$S104),
          SUMIF(OFFSET($S106,1,0,$R104-2),($M104+1)&amp;"$",OFFSET(AD106,1,0,$R104-2)))</f>
        <v>0</v>
      </c>
      <c r="AE106" s="202" cm="1">
        <f t="array" aca="1" ref="AE106" ca="1">IF($R104=2,
         IF(AND(ACOMPANHAMENTO="PLE",ISNUMBER($F104)),
                SUMIF((OFFSET(CÁLCULO!$AM$15:$AW$15,$F104,0,OFFSET(ORÇAMENTO!$D$15,CRONO!$F104,0))),CRONO!AE$12,OFFSET(CÁLCULO!$AB$15:$AL$15,$F104,0,OFFSET(ORÇAMENTO!$D$15,CRONO!$F104,0)))
                +IF(AND($F106&lt;&gt;"",$F106&lt;&gt;0),
                        SUMIF(CÁLCULO!$AM$15:$AW$44,CRONO!AE$12,CÁLCULO!$AB$15:$AL$44)/(ORÇAMENTO!$X$15-CÁLCULO.TotalAdmLocal)*CRONO!$F106,
                        0),
                 AE105*$S104),
          SUMIF(OFFSET($S106,1,0,$R104-2),($M104+1)&amp;"$",OFFSET(AE106,1,0,$R104-2)))</f>
        <v>0</v>
      </c>
      <c r="AF106" s="202" cm="1">
        <f t="array" aca="1" ref="AF106" ca="1">IF($R104=2,
         IF(AND(ACOMPANHAMENTO="PLE",ISNUMBER($F104)),
                SUMIF((OFFSET(CÁLCULO!$AM$15:$AW$15,$F104,0,OFFSET(ORÇAMENTO!$D$15,CRONO!$F104,0))),CRONO!AF$12,OFFSET(CÁLCULO!$AB$15:$AL$15,$F104,0,OFFSET(ORÇAMENTO!$D$15,CRONO!$F104,0)))
                +IF(AND($F106&lt;&gt;"",$F106&lt;&gt;0),
                        SUMIF(CÁLCULO!$AM$15:$AW$44,CRONO!AF$12,CÁLCULO!$AB$15:$AL$44)/(ORÇAMENTO!$X$15-CÁLCULO.TotalAdmLocal)*CRONO!$F106,
                        0),
                 AF105*$S104),
          SUMIF(OFFSET($S106,1,0,$R104-2),($M104+1)&amp;"$",OFFSET(AF106,1,0,$R104-2)))</f>
        <v>0</v>
      </c>
      <c r="AG106" s="534"/>
    </row>
    <row r="107" spans="1:33" x14ac:dyDescent="0.2">
      <c r="A107" s="186" t="str">
        <f t="shared" ref="A107" ca="1" si="188">IF($M107&gt;1,_xlfn.CONCAT($I107," ",$J107),"")</f>
        <v/>
      </c>
      <c r="B107" s="185">
        <f t="shared" ref="B107" ca="1" si="189">OFFSET(B107,-3,0)+1</f>
        <v>32</v>
      </c>
      <c r="C107" s="185">
        <f ca="1">IF($R107&lt;&gt;2,0,IF($S107=0,1,IF(F108&gt;0,OFFSET(QCI!$M$13,SUBSTITUTE(F108,".",""),0),OFFSET(ORÇAMENTO!$AA$15,CRONO!$F107,0))/$S107))</f>
        <v>0</v>
      </c>
      <c r="D107" s="185">
        <f ca="1">IF($R107&lt;&gt;2,0,IF($S107=0,1,IF(F108&gt;0,OFFSET(QCI!$N$13,SUBSTITUTE(F108,".",""),0),OFFSET(ORÇAMENTO!$AB$15,CRONO!$F107,0))/$S107))</f>
        <v>0</v>
      </c>
      <c r="E107" s="188" t="e" cm="1">
        <f t="array" aca="1" ref="E107" ca="1">IF(AND($R107=2,ACOMPANHAMENTO="BM"),ROUND(E108,4),E109/$S107)</f>
        <v>#VALUE!</v>
      </c>
      <c r="F107" s="185" t="e" cm="1">
        <f t="array" aca="1" ref="F107" ca="1">IF(B107&lt;=ORÇAMENTO.MáximoListaCrono,MATCH(B107,ORÇAMENTO.ListaCrono,0),NA())</f>
        <v>#N/A</v>
      </c>
      <c r="G107" s="185" t="str">
        <f t="shared" ref="G107" ca="1" si="190">IF(AND($F108&lt;&gt;-1,$S107&gt;0),"F","")</f>
        <v/>
      </c>
      <c r="H107" s="189" t="str" cm="1">
        <f t="array" aca="1" ref="H107" ca="1">IF(OR(S107=0,S107=""),"Linha",IF(AND(OR(ACOMPANHAMENTO="PLE",$R107&lt;&gt;2),$F108=0),"Linha",ROUND(1-SUM(U107:AG107),4)))</f>
        <v>Linha</v>
      </c>
      <c r="I107" s="190" t="str">
        <f ca="1">IF($F108=0,OFFSET(ORÇAMENTO!O$15,$F107,0),IF($F108&lt;&gt;-1,OFFSET(QCI!$D$13,$F108,0),""))</f>
        <v/>
      </c>
      <c r="J107" s="191" t="str">
        <f ca="1">IF($F108=0,OFFSET(ORÇAMENTO!R$15,$F107,0),IF($F108&lt;&gt;-1,OFFSET(QCI!$G$13,$F108,0),""))</f>
        <v/>
      </c>
      <c r="K107" s="191"/>
      <c r="L107" s="191"/>
      <c r="M107" s="192">
        <f ca="1">IF($F108=0,OFFSET(ORÇAMENTO!C$15,$F107,0),1)</f>
        <v>1</v>
      </c>
      <c r="N107" s="193">
        <f ca="1">IF($F108=-1,0,IF(N$13&lt;=$M107,IF(ISERROR(MATCH(N$13,OFFSET($M107,1,0,ROW($M$164)-ROW($M107)-1),0)),ROW($M$164)-ROW($M107)-1,MATCH(N$13,OFFSET($M107,1,0,ROW($M$164)-ROW($M107)-1),0)-1),0))</f>
        <v>0</v>
      </c>
      <c r="O107" s="193">
        <f ca="1">IF($F108=-1,0,IF(O$13&lt;=$M107,IF(ISERROR(MATCH(O$13,OFFSET($M107,1,0,ROW($M$164)-ROW($M107)-1),0)),ROW($M$164)-ROW($M107)-1,MATCH(O$13,OFFSET($M107,1,0,ROW($M$164)-ROW($M107)-1),0)-1),0))</f>
        <v>0</v>
      </c>
      <c r="P107" s="193">
        <f ca="1">IF($F108=-1,0,IF(P$13&lt;=$M107,IF(ISERROR(MATCH(P$13,OFFSET($M107,1,0,ROW($M$164)-ROW($M107)-1),0)),ROW($M$164)-ROW($M107)-1,MATCH(P$13,OFFSET($M107,1,0,ROW($M$164)-ROW($M107)-1),0)-1),0))</f>
        <v>0</v>
      </c>
      <c r="Q107" s="193">
        <f ca="1">IF($F108=-1,0,IF(Q$13&lt;=$M107,IF(ISERROR(MATCH(Q$13,OFFSET($M107,1,0,ROW($M$164)-ROW($M107)-1),0)),ROW($M$164)-ROW($M107)-1,MATCH(Q$13,OFFSET($M107,1,0,ROW($M$164)-ROW($M107)-1),0)-1),0))</f>
        <v>0</v>
      </c>
      <c r="R107" s="193">
        <f t="shared" ref="R107" ca="1" si="191">MIN(OFFSET(M107,0,1,,M107))</f>
        <v>0</v>
      </c>
      <c r="S107" s="194" t="str">
        <f ca="1">IF($F108=0,OFFSET(ORÇAMENTO!X$15,$F107,0),IF($F108&lt;&gt;-1,OFFSET(QCI!$O$13,$F108,0),""))</f>
        <v/>
      </c>
      <c r="T107" s="195" t="s">
        <v>785</v>
      </c>
      <c r="U107" s="188" t="e" cm="1">
        <f t="array" aca="1" ref="U107" ca="1">IF(AND($R107=2,ACOMPANHAMENTO="BM"),ROUND(U108,4),U109/$S107)</f>
        <v>#VALUE!</v>
      </c>
      <c r="V107" s="188" t="e" cm="1">
        <f t="array" aca="1" ref="V107" ca="1">IF(AND($R107=2,ACOMPANHAMENTO="BM"),ROUND(V108,4),V109/$S107)</f>
        <v>#VALUE!</v>
      </c>
      <c r="W107" s="188" t="e" cm="1">
        <f t="array" aca="1" ref="W107" ca="1">IF(AND($R107=2,ACOMPANHAMENTO="BM"),ROUND(W108,4),W109/$S107)</f>
        <v>#VALUE!</v>
      </c>
      <c r="X107" s="188" t="e" cm="1">
        <f t="array" aca="1" ref="X107" ca="1">IF(AND($R107=2,ACOMPANHAMENTO="BM"),ROUND(X108,4),X109/$S107)</f>
        <v>#VALUE!</v>
      </c>
      <c r="Y107" s="188" t="e" cm="1">
        <f t="array" aca="1" ref="Y107" ca="1">IF(AND($R107=2,ACOMPANHAMENTO="BM"),ROUND(Y108,4),Y109/$S107)</f>
        <v>#VALUE!</v>
      </c>
      <c r="Z107" s="188" t="e" cm="1">
        <f t="array" aca="1" ref="Z107" ca="1">IF(AND($R107=2,ACOMPANHAMENTO="BM"),ROUND(Z108,4),Z109/$S107)</f>
        <v>#VALUE!</v>
      </c>
      <c r="AA107" s="188" t="e" cm="1">
        <f t="array" aca="1" ref="AA107" ca="1">IF(AND($R107=2,ACOMPANHAMENTO="BM"),ROUND(AA108,4),AA109/$S107)</f>
        <v>#VALUE!</v>
      </c>
      <c r="AB107" s="188" t="e" cm="1">
        <f t="array" aca="1" ref="AB107" ca="1">IF(AND($R107=2,ACOMPANHAMENTO="BM"),ROUND(AB108,4),AB109/$S107)</f>
        <v>#VALUE!</v>
      </c>
      <c r="AC107" s="188" t="e" cm="1">
        <f t="array" aca="1" ref="AC107" ca="1">IF(AND($R107=2,ACOMPANHAMENTO="BM"),ROUND(AC108,4),AC109/$S107)</f>
        <v>#VALUE!</v>
      </c>
      <c r="AD107" s="188" t="e" cm="1">
        <f t="array" aca="1" ref="AD107" ca="1">IF(AND($R107=2,ACOMPANHAMENTO="BM"),ROUND(AD108,4),AD109/$S107)</f>
        <v>#VALUE!</v>
      </c>
      <c r="AE107" s="188" t="e" cm="1">
        <f t="array" aca="1" ref="AE107" ca="1">IF(AND($R107=2,ACOMPANHAMENTO="BM"),ROUND(AE108,4),AE109/$S107)</f>
        <v>#VALUE!</v>
      </c>
      <c r="AF107" s="188" t="e" cm="1">
        <f t="array" aca="1" ref="AF107" ca="1">IF(AND($R107=2,ACOMPANHAMENTO="BM"),ROUND(AF108,4),AF109/$S107)</f>
        <v>#VALUE!</v>
      </c>
      <c r="AG107" s="534"/>
    </row>
    <row r="108" spans="1:33" ht="12.75" customHeight="1" x14ac:dyDescent="0.2">
      <c r="E108" s="587"/>
      <c r="F108" s="185">
        <f ca="1">IF(ISERROR(F107),IF(1+COUNTIF($M$13:OFFSET(M107,-1,0),1)&lt;=MAX(QCI!$D$13:$D$24),1+COUNTIF($M$13:OFFSET(M107,-1,0),1),-1),0)</f>
        <v>-1</v>
      </c>
      <c r="G108" s="185" t="str" cm="1">
        <f t="array" aca="1" ref="G108" ca="1">IF(ACOMPANHAMENTO="BM",OFFSET(G108,-1,0),"")</f>
        <v/>
      </c>
      <c r="H108" s="196" t="str" cm="1">
        <f t="array" aca="1" ref="H108" ca="1">IF(OR(S107=0,S107=""),"vazia",IF(AND(OR(ACOMPANHAMENTO="PLE",$R107&lt;&gt;2),$F108=0),"calculada","--&gt;"))</f>
        <v>vazia</v>
      </c>
      <c r="I108" s="197"/>
      <c r="J108" s="198" t="str">
        <f t="shared" ref="J108" ca="1" si="192">IF(AND(H107&lt;&gt;0,ISNUMBER(H107)),"PREENCHA ESTA LINHA --&gt;","")</f>
        <v/>
      </c>
      <c r="K108" s="198"/>
      <c r="L108" s="198"/>
      <c r="M108" s="199"/>
      <c r="N108" s="199"/>
      <c r="O108" s="199"/>
      <c r="P108" s="199"/>
      <c r="Q108" s="199"/>
      <c r="R108" s="199"/>
      <c r="S108" s="200"/>
      <c r="T108" s="201"/>
      <c r="U108" s="587"/>
      <c r="V108" s="587"/>
      <c r="W108" s="587"/>
      <c r="X108" s="587"/>
      <c r="Y108" s="587"/>
      <c r="Z108" s="587"/>
      <c r="AA108" s="587"/>
      <c r="AB108" s="587"/>
      <c r="AC108" s="587"/>
      <c r="AD108" s="587"/>
      <c r="AE108" s="587"/>
      <c r="AF108" s="587"/>
      <c r="AG108" s="534"/>
    </row>
    <row r="109" spans="1:33" ht="12.75" customHeight="1" x14ac:dyDescent="0.2">
      <c r="D109" s="533"/>
      <c r="E109" s="202" cm="1">
        <f t="array" aca="1" ref="E109" ca="1">IF($R107=2,
         IF(AND(ACOMPANHAMENTO="PLE",ISNUMBER($F107)),
                SUMIF((OFFSET(CÁLCULO!$AM$15:$AW$15,$F107,0,OFFSET(ORÇAMENTO!$D$15,CRONO!$F107,0))),CRONO!E$12,OFFSET(CÁLCULO!$AB$15:$AL$15,$F107,0,OFFSET(ORÇAMENTO!$D$15,CRONO!$F107,0)))
                +IF(AND($F109&lt;&gt;"",$F109&lt;&gt;0),
                        SUMIF(CÁLCULO!$AM$15:$AW$44,CRONO!E$12,CÁLCULO!$AB$15:$AL$44)/(ORÇAMENTO!$X$15-CÁLCULO.TotalAdmLocal)*CRONO!$F109,
                        0),
                 E108*$S107),
          SUMIF(OFFSET($S109,1,0,$R107-2),($M107+1)&amp;"$",OFFSET(E109,1,0,$R107-2)))</f>
        <v>0</v>
      </c>
      <c r="F109" s="185" t="str">
        <f ca="1">IF(OR($R107&lt;&gt;2,AUTOEVENTO&lt;&gt;"manual",$F108&gt;0),"",
        IF(Import.TipoArredondamento="Tradicional",
              SUMIF(OFFSET(CÁLCULO!$M$15,CRONO!$F107,0,OFFSET(ORÇAMENTO!$D$15,CRONO!$F107,0)),1,OFFSET(ORÇAMENTO!$X$15,CRONO!$F107,0,OFFSET(ORÇAMENTO!$D$15,CRONO!$F107,0))),
              0))</f>
        <v/>
      </c>
      <c r="H109" s="203"/>
      <c r="S109" s="204" t="str">
        <f t="shared" ref="S109" ca="1" si="193">M107&amp;"$"</f>
        <v>1$</v>
      </c>
      <c r="T109" s="205"/>
      <c r="U109" s="202" cm="1">
        <f t="array" aca="1" ref="U109" ca="1">IF($R107=2,
         IF(AND(ACOMPANHAMENTO="PLE",ISNUMBER($F107)),
                SUMIF((OFFSET(CÁLCULO!$AM$15:$AW$15,$F107,0,OFFSET(ORÇAMENTO!$D$15,CRONO!$F107,0))),CRONO!U$12,OFFSET(CÁLCULO!$AB$15:$AL$15,$F107,0,OFFSET(ORÇAMENTO!$D$15,CRONO!$F107,0)))
                +IF(AND($F109&lt;&gt;"",$F109&lt;&gt;0),
                        SUMIF(CÁLCULO!$AM$15:$AW$44,CRONO!U$12,CÁLCULO!$AB$15:$AL$44)/(ORÇAMENTO!$X$15-CÁLCULO.TotalAdmLocal)*CRONO!$F109,
                        0),
                 U108*$S107),
          SUMIF(OFFSET($S109,1,0,$R107-2),($M107+1)&amp;"$",OFFSET(U109,1,0,$R107-2)))</f>
        <v>0</v>
      </c>
      <c r="V109" s="202" cm="1">
        <f t="array" aca="1" ref="V109" ca="1">IF($R107=2,
         IF(AND(ACOMPANHAMENTO="PLE",ISNUMBER($F107)),
                SUMIF((OFFSET(CÁLCULO!$AM$15:$AW$15,$F107,0,OFFSET(ORÇAMENTO!$D$15,CRONO!$F107,0))),CRONO!V$12,OFFSET(CÁLCULO!$AB$15:$AL$15,$F107,0,OFFSET(ORÇAMENTO!$D$15,CRONO!$F107,0)))
                +IF(AND($F109&lt;&gt;"",$F109&lt;&gt;0),
                        SUMIF(CÁLCULO!$AM$15:$AW$44,CRONO!V$12,CÁLCULO!$AB$15:$AL$44)/(ORÇAMENTO!$X$15-CÁLCULO.TotalAdmLocal)*CRONO!$F109,
                        0),
                 V108*$S107),
          SUMIF(OFFSET($S109,1,0,$R107-2),($M107+1)&amp;"$",OFFSET(V109,1,0,$R107-2)))</f>
        <v>0</v>
      </c>
      <c r="W109" s="202" cm="1">
        <f t="array" aca="1" ref="W109" ca="1">IF($R107=2,
         IF(AND(ACOMPANHAMENTO="PLE",ISNUMBER($F107)),
                SUMIF((OFFSET(CÁLCULO!$AM$15:$AW$15,$F107,0,OFFSET(ORÇAMENTO!$D$15,CRONO!$F107,0))),CRONO!W$12,OFFSET(CÁLCULO!$AB$15:$AL$15,$F107,0,OFFSET(ORÇAMENTO!$D$15,CRONO!$F107,0)))
                +IF(AND($F109&lt;&gt;"",$F109&lt;&gt;0),
                        SUMIF(CÁLCULO!$AM$15:$AW$44,CRONO!W$12,CÁLCULO!$AB$15:$AL$44)/(ORÇAMENTO!$X$15-CÁLCULO.TotalAdmLocal)*CRONO!$F109,
                        0),
                 W108*$S107),
          SUMIF(OFFSET($S109,1,0,$R107-2),($M107+1)&amp;"$",OFFSET(W109,1,0,$R107-2)))</f>
        <v>0</v>
      </c>
      <c r="X109" s="202" cm="1">
        <f t="array" aca="1" ref="X109" ca="1">IF($R107=2,
         IF(AND(ACOMPANHAMENTO="PLE",ISNUMBER($F107)),
                SUMIF((OFFSET(CÁLCULO!$AM$15:$AW$15,$F107,0,OFFSET(ORÇAMENTO!$D$15,CRONO!$F107,0))),CRONO!X$12,OFFSET(CÁLCULO!$AB$15:$AL$15,$F107,0,OFFSET(ORÇAMENTO!$D$15,CRONO!$F107,0)))
                +IF(AND($F109&lt;&gt;"",$F109&lt;&gt;0),
                        SUMIF(CÁLCULO!$AM$15:$AW$44,CRONO!X$12,CÁLCULO!$AB$15:$AL$44)/(ORÇAMENTO!$X$15-CÁLCULO.TotalAdmLocal)*CRONO!$F109,
                        0),
                 X108*$S107),
          SUMIF(OFFSET($S109,1,0,$R107-2),($M107+1)&amp;"$",OFFSET(X109,1,0,$R107-2)))</f>
        <v>0</v>
      </c>
      <c r="Y109" s="202" cm="1">
        <f t="array" aca="1" ref="Y109" ca="1">IF($R107=2,
         IF(AND(ACOMPANHAMENTO="PLE",ISNUMBER($F107)),
                SUMIF((OFFSET(CÁLCULO!$AM$15:$AW$15,$F107,0,OFFSET(ORÇAMENTO!$D$15,CRONO!$F107,0))),CRONO!Y$12,OFFSET(CÁLCULO!$AB$15:$AL$15,$F107,0,OFFSET(ORÇAMENTO!$D$15,CRONO!$F107,0)))
                +IF(AND($F109&lt;&gt;"",$F109&lt;&gt;0),
                        SUMIF(CÁLCULO!$AM$15:$AW$44,CRONO!Y$12,CÁLCULO!$AB$15:$AL$44)/(ORÇAMENTO!$X$15-CÁLCULO.TotalAdmLocal)*CRONO!$F109,
                        0),
                 Y108*$S107),
          SUMIF(OFFSET($S109,1,0,$R107-2),($M107+1)&amp;"$",OFFSET(Y109,1,0,$R107-2)))</f>
        <v>0</v>
      </c>
      <c r="Z109" s="202" cm="1">
        <f t="array" aca="1" ref="Z109" ca="1">IF($R107=2,
         IF(AND(ACOMPANHAMENTO="PLE",ISNUMBER($F107)),
                SUMIF((OFFSET(CÁLCULO!$AM$15:$AW$15,$F107,0,OFFSET(ORÇAMENTO!$D$15,CRONO!$F107,0))),CRONO!Z$12,OFFSET(CÁLCULO!$AB$15:$AL$15,$F107,0,OFFSET(ORÇAMENTO!$D$15,CRONO!$F107,0)))
                +IF(AND($F109&lt;&gt;"",$F109&lt;&gt;0),
                        SUMIF(CÁLCULO!$AM$15:$AW$44,CRONO!Z$12,CÁLCULO!$AB$15:$AL$44)/(ORÇAMENTO!$X$15-CÁLCULO.TotalAdmLocal)*CRONO!$F109,
                        0),
                 Z108*$S107),
          SUMIF(OFFSET($S109,1,0,$R107-2),($M107+1)&amp;"$",OFFSET(Z109,1,0,$R107-2)))</f>
        <v>0</v>
      </c>
      <c r="AA109" s="202" cm="1">
        <f t="array" aca="1" ref="AA109" ca="1">IF($R107=2,
         IF(AND(ACOMPANHAMENTO="PLE",ISNUMBER($F107)),
                SUMIF((OFFSET(CÁLCULO!$AM$15:$AW$15,$F107,0,OFFSET(ORÇAMENTO!$D$15,CRONO!$F107,0))),CRONO!AA$12,OFFSET(CÁLCULO!$AB$15:$AL$15,$F107,0,OFFSET(ORÇAMENTO!$D$15,CRONO!$F107,0)))
                +IF(AND($F109&lt;&gt;"",$F109&lt;&gt;0),
                        SUMIF(CÁLCULO!$AM$15:$AW$44,CRONO!AA$12,CÁLCULO!$AB$15:$AL$44)/(ORÇAMENTO!$X$15-CÁLCULO.TotalAdmLocal)*CRONO!$F109,
                        0),
                 AA108*$S107),
          SUMIF(OFFSET($S109,1,0,$R107-2),($M107+1)&amp;"$",OFFSET(AA109,1,0,$R107-2)))</f>
        <v>0</v>
      </c>
      <c r="AB109" s="202" cm="1">
        <f t="array" aca="1" ref="AB109" ca="1">IF($R107=2,
         IF(AND(ACOMPANHAMENTO="PLE",ISNUMBER($F107)),
                SUMIF((OFFSET(CÁLCULO!$AM$15:$AW$15,$F107,0,OFFSET(ORÇAMENTO!$D$15,CRONO!$F107,0))),CRONO!AB$12,OFFSET(CÁLCULO!$AB$15:$AL$15,$F107,0,OFFSET(ORÇAMENTO!$D$15,CRONO!$F107,0)))
                +IF(AND($F109&lt;&gt;"",$F109&lt;&gt;0),
                        SUMIF(CÁLCULO!$AM$15:$AW$44,CRONO!AB$12,CÁLCULO!$AB$15:$AL$44)/(ORÇAMENTO!$X$15-CÁLCULO.TotalAdmLocal)*CRONO!$F109,
                        0),
                 AB108*$S107),
          SUMIF(OFFSET($S109,1,0,$R107-2),($M107+1)&amp;"$",OFFSET(AB109,1,0,$R107-2)))</f>
        <v>0</v>
      </c>
      <c r="AC109" s="202" cm="1">
        <f t="array" aca="1" ref="AC109" ca="1">IF($R107=2,
         IF(AND(ACOMPANHAMENTO="PLE",ISNUMBER($F107)),
                SUMIF((OFFSET(CÁLCULO!$AM$15:$AW$15,$F107,0,OFFSET(ORÇAMENTO!$D$15,CRONO!$F107,0))),CRONO!AC$12,OFFSET(CÁLCULO!$AB$15:$AL$15,$F107,0,OFFSET(ORÇAMENTO!$D$15,CRONO!$F107,0)))
                +IF(AND($F109&lt;&gt;"",$F109&lt;&gt;0),
                        SUMIF(CÁLCULO!$AM$15:$AW$44,CRONO!AC$12,CÁLCULO!$AB$15:$AL$44)/(ORÇAMENTO!$X$15-CÁLCULO.TotalAdmLocal)*CRONO!$F109,
                        0),
                 AC108*$S107),
          SUMIF(OFFSET($S109,1,0,$R107-2),($M107+1)&amp;"$",OFFSET(AC109,1,0,$R107-2)))</f>
        <v>0</v>
      </c>
      <c r="AD109" s="202" cm="1">
        <f t="array" aca="1" ref="AD109" ca="1">IF($R107=2,
         IF(AND(ACOMPANHAMENTO="PLE",ISNUMBER($F107)),
                SUMIF((OFFSET(CÁLCULO!$AM$15:$AW$15,$F107,0,OFFSET(ORÇAMENTO!$D$15,CRONO!$F107,0))),CRONO!AD$12,OFFSET(CÁLCULO!$AB$15:$AL$15,$F107,0,OFFSET(ORÇAMENTO!$D$15,CRONO!$F107,0)))
                +IF(AND($F109&lt;&gt;"",$F109&lt;&gt;0),
                        SUMIF(CÁLCULO!$AM$15:$AW$44,CRONO!AD$12,CÁLCULO!$AB$15:$AL$44)/(ORÇAMENTO!$X$15-CÁLCULO.TotalAdmLocal)*CRONO!$F109,
                        0),
                 AD108*$S107),
          SUMIF(OFFSET($S109,1,0,$R107-2),($M107+1)&amp;"$",OFFSET(AD109,1,0,$R107-2)))</f>
        <v>0</v>
      </c>
      <c r="AE109" s="202" cm="1">
        <f t="array" aca="1" ref="AE109" ca="1">IF($R107=2,
         IF(AND(ACOMPANHAMENTO="PLE",ISNUMBER($F107)),
                SUMIF((OFFSET(CÁLCULO!$AM$15:$AW$15,$F107,0,OFFSET(ORÇAMENTO!$D$15,CRONO!$F107,0))),CRONO!AE$12,OFFSET(CÁLCULO!$AB$15:$AL$15,$F107,0,OFFSET(ORÇAMENTO!$D$15,CRONO!$F107,0)))
                +IF(AND($F109&lt;&gt;"",$F109&lt;&gt;0),
                        SUMIF(CÁLCULO!$AM$15:$AW$44,CRONO!AE$12,CÁLCULO!$AB$15:$AL$44)/(ORÇAMENTO!$X$15-CÁLCULO.TotalAdmLocal)*CRONO!$F109,
                        0),
                 AE108*$S107),
          SUMIF(OFFSET($S109,1,0,$R107-2),($M107+1)&amp;"$",OFFSET(AE109,1,0,$R107-2)))</f>
        <v>0</v>
      </c>
      <c r="AF109" s="202" cm="1">
        <f t="array" aca="1" ref="AF109" ca="1">IF($R107=2,
         IF(AND(ACOMPANHAMENTO="PLE",ISNUMBER($F107)),
                SUMIF((OFFSET(CÁLCULO!$AM$15:$AW$15,$F107,0,OFFSET(ORÇAMENTO!$D$15,CRONO!$F107,0))),CRONO!AF$12,OFFSET(CÁLCULO!$AB$15:$AL$15,$F107,0,OFFSET(ORÇAMENTO!$D$15,CRONO!$F107,0)))
                +IF(AND($F109&lt;&gt;"",$F109&lt;&gt;0),
                        SUMIF(CÁLCULO!$AM$15:$AW$44,CRONO!AF$12,CÁLCULO!$AB$15:$AL$44)/(ORÇAMENTO!$X$15-CÁLCULO.TotalAdmLocal)*CRONO!$F109,
                        0),
                 AF108*$S107),
          SUMIF(OFFSET($S109,1,0,$R107-2),($M107+1)&amp;"$",OFFSET(AF109,1,0,$R107-2)))</f>
        <v>0</v>
      </c>
      <c r="AG109" s="534"/>
    </row>
    <row r="110" spans="1:33" x14ac:dyDescent="0.2">
      <c r="A110" s="186" t="str">
        <f t="shared" ref="A110" ca="1" si="194">IF($M110&gt;1,_xlfn.CONCAT($I110," ",$J110),"")</f>
        <v/>
      </c>
      <c r="B110" s="185">
        <f t="shared" ref="B110" ca="1" si="195">OFFSET(B110,-3,0)+1</f>
        <v>33</v>
      </c>
      <c r="C110" s="185">
        <f ca="1">IF($R110&lt;&gt;2,0,IF($S110=0,1,IF(F111&gt;0,OFFSET(QCI!$M$13,SUBSTITUTE(F111,".",""),0),OFFSET(ORÇAMENTO!$AA$15,CRONO!$F110,0))/$S110))</f>
        <v>0</v>
      </c>
      <c r="D110" s="185">
        <f ca="1">IF($R110&lt;&gt;2,0,IF($S110=0,1,IF(F111&gt;0,OFFSET(QCI!$N$13,SUBSTITUTE(F111,".",""),0),OFFSET(ORÇAMENTO!$AB$15,CRONO!$F110,0))/$S110))</f>
        <v>0</v>
      </c>
      <c r="E110" s="188" t="e" cm="1">
        <f t="array" aca="1" ref="E110" ca="1">IF(AND($R110=2,ACOMPANHAMENTO="BM"),ROUND(E111,4),E112/$S110)</f>
        <v>#VALUE!</v>
      </c>
      <c r="F110" s="185" t="e" cm="1">
        <f t="array" aca="1" ref="F110" ca="1">IF(B110&lt;=ORÇAMENTO.MáximoListaCrono,MATCH(B110,ORÇAMENTO.ListaCrono,0),NA())</f>
        <v>#N/A</v>
      </c>
      <c r="G110" s="185" t="str">
        <f t="shared" ref="G110" ca="1" si="196">IF(AND($F111&lt;&gt;-1,$S110&gt;0),"F","")</f>
        <v/>
      </c>
      <c r="H110" s="189" t="str" cm="1">
        <f t="array" aca="1" ref="H110" ca="1">IF(OR(S110=0,S110=""),"Linha",IF(AND(OR(ACOMPANHAMENTO="PLE",$R110&lt;&gt;2),$F111=0),"Linha",ROUND(1-SUM(U110:AG110),4)))</f>
        <v>Linha</v>
      </c>
      <c r="I110" s="190" t="str">
        <f ca="1">IF($F111=0,OFFSET(ORÇAMENTO!O$15,$F110,0),IF($F111&lt;&gt;-1,OFFSET(QCI!$D$13,$F111,0),""))</f>
        <v/>
      </c>
      <c r="J110" s="191" t="str">
        <f ca="1">IF($F111=0,OFFSET(ORÇAMENTO!R$15,$F110,0),IF($F111&lt;&gt;-1,OFFSET(QCI!$G$13,$F111,0),""))</f>
        <v/>
      </c>
      <c r="K110" s="191"/>
      <c r="L110" s="191"/>
      <c r="M110" s="192">
        <f ca="1">IF($F111=0,OFFSET(ORÇAMENTO!C$15,$F110,0),1)</f>
        <v>1</v>
      </c>
      <c r="N110" s="193">
        <f ca="1">IF($F111=-1,0,IF(N$13&lt;=$M110,IF(ISERROR(MATCH(N$13,OFFSET($M110,1,0,ROW($M$164)-ROW($M110)-1),0)),ROW($M$164)-ROW($M110)-1,MATCH(N$13,OFFSET($M110,1,0,ROW($M$164)-ROW($M110)-1),0)-1),0))</f>
        <v>0</v>
      </c>
      <c r="O110" s="193">
        <f ca="1">IF($F111=-1,0,IF(O$13&lt;=$M110,IF(ISERROR(MATCH(O$13,OFFSET($M110,1,0,ROW($M$164)-ROW($M110)-1),0)),ROW($M$164)-ROW($M110)-1,MATCH(O$13,OFFSET($M110,1,0,ROW($M$164)-ROW($M110)-1),0)-1),0))</f>
        <v>0</v>
      </c>
      <c r="P110" s="193">
        <f ca="1">IF($F111=-1,0,IF(P$13&lt;=$M110,IF(ISERROR(MATCH(P$13,OFFSET($M110,1,0,ROW($M$164)-ROW($M110)-1),0)),ROW($M$164)-ROW($M110)-1,MATCH(P$13,OFFSET($M110,1,0,ROW($M$164)-ROW($M110)-1),0)-1),0))</f>
        <v>0</v>
      </c>
      <c r="Q110" s="193">
        <f ca="1">IF($F111=-1,0,IF(Q$13&lt;=$M110,IF(ISERROR(MATCH(Q$13,OFFSET($M110,1,0,ROW($M$164)-ROW($M110)-1),0)),ROW($M$164)-ROW($M110)-1,MATCH(Q$13,OFFSET($M110,1,0,ROW($M$164)-ROW($M110)-1),0)-1),0))</f>
        <v>0</v>
      </c>
      <c r="R110" s="193">
        <f t="shared" ref="R110" ca="1" si="197">MIN(OFFSET(M110,0,1,,M110))</f>
        <v>0</v>
      </c>
      <c r="S110" s="194" t="str">
        <f ca="1">IF($F111=0,OFFSET(ORÇAMENTO!X$15,$F110,0),IF($F111&lt;&gt;-1,OFFSET(QCI!$O$13,$F111,0),""))</f>
        <v/>
      </c>
      <c r="T110" s="195" t="s">
        <v>785</v>
      </c>
      <c r="U110" s="188" t="e" cm="1">
        <f t="array" aca="1" ref="U110" ca="1">IF(AND($R110=2,ACOMPANHAMENTO="BM"),ROUND(U111,4),U112/$S110)</f>
        <v>#VALUE!</v>
      </c>
      <c r="V110" s="188" t="e" cm="1">
        <f t="array" aca="1" ref="V110" ca="1">IF(AND($R110=2,ACOMPANHAMENTO="BM"),ROUND(V111,4),V112/$S110)</f>
        <v>#VALUE!</v>
      </c>
      <c r="W110" s="188" t="e" cm="1">
        <f t="array" aca="1" ref="W110" ca="1">IF(AND($R110=2,ACOMPANHAMENTO="BM"),ROUND(W111,4),W112/$S110)</f>
        <v>#VALUE!</v>
      </c>
      <c r="X110" s="188" t="e" cm="1">
        <f t="array" aca="1" ref="X110" ca="1">IF(AND($R110=2,ACOMPANHAMENTO="BM"),ROUND(X111,4),X112/$S110)</f>
        <v>#VALUE!</v>
      </c>
      <c r="Y110" s="188" t="e" cm="1">
        <f t="array" aca="1" ref="Y110" ca="1">IF(AND($R110=2,ACOMPANHAMENTO="BM"),ROUND(Y111,4),Y112/$S110)</f>
        <v>#VALUE!</v>
      </c>
      <c r="Z110" s="188" t="e" cm="1">
        <f t="array" aca="1" ref="Z110" ca="1">IF(AND($R110=2,ACOMPANHAMENTO="BM"),ROUND(Z111,4),Z112/$S110)</f>
        <v>#VALUE!</v>
      </c>
      <c r="AA110" s="188" t="e" cm="1">
        <f t="array" aca="1" ref="AA110" ca="1">IF(AND($R110=2,ACOMPANHAMENTO="BM"),ROUND(AA111,4),AA112/$S110)</f>
        <v>#VALUE!</v>
      </c>
      <c r="AB110" s="188" t="e" cm="1">
        <f t="array" aca="1" ref="AB110" ca="1">IF(AND($R110=2,ACOMPANHAMENTO="BM"),ROUND(AB111,4),AB112/$S110)</f>
        <v>#VALUE!</v>
      </c>
      <c r="AC110" s="188" t="e" cm="1">
        <f t="array" aca="1" ref="AC110" ca="1">IF(AND($R110=2,ACOMPANHAMENTO="BM"),ROUND(AC111,4),AC112/$S110)</f>
        <v>#VALUE!</v>
      </c>
      <c r="AD110" s="188" t="e" cm="1">
        <f t="array" aca="1" ref="AD110" ca="1">IF(AND($R110=2,ACOMPANHAMENTO="BM"),ROUND(AD111,4),AD112/$S110)</f>
        <v>#VALUE!</v>
      </c>
      <c r="AE110" s="188" t="e" cm="1">
        <f t="array" aca="1" ref="AE110" ca="1">IF(AND($R110=2,ACOMPANHAMENTO="BM"),ROUND(AE111,4),AE112/$S110)</f>
        <v>#VALUE!</v>
      </c>
      <c r="AF110" s="188" t="e" cm="1">
        <f t="array" aca="1" ref="AF110" ca="1">IF(AND($R110=2,ACOMPANHAMENTO="BM"),ROUND(AF111,4),AF112/$S110)</f>
        <v>#VALUE!</v>
      </c>
      <c r="AG110" s="534"/>
    </row>
    <row r="111" spans="1:33" ht="12.75" customHeight="1" x14ac:dyDescent="0.2">
      <c r="E111" s="587"/>
      <c r="F111" s="185">
        <f ca="1">IF(ISERROR(F110),IF(1+COUNTIF($M$13:OFFSET(M110,-1,0),1)&lt;=MAX(QCI!$D$13:$D$24),1+COUNTIF($M$13:OFFSET(M110,-1,0),1),-1),0)</f>
        <v>-1</v>
      </c>
      <c r="G111" s="185" t="str" cm="1">
        <f t="array" aca="1" ref="G111" ca="1">IF(ACOMPANHAMENTO="BM",OFFSET(G111,-1,0),"")</f>
        <v/>
      </c>
      <c r="H111" s="196" t="str" cm="1">
        <f t="array" aca="1" ref="H111" ca="1">IF(OR(S110=0,S110=""),"vazia",IF(AND(OR(ACOMPANHAMENTO="PLE",$R110&lt;&gt;2),$F111=0),"calculada","--&gt;"))</f>
        <v>vazia</v>
      </c>
      <c r="I111" s="197"/>
      <c r="J111" s="198" t="str">
        <f t="shared" ref="J111" ca="1" si="198">IF(AND(H110&lt;&gt;0,ISNUMBER(H110)),"PREENCHA ESTA LINHA --&gt;","")</f>
        <v/>
      </c>
      <c r="K111" s="198"/>
      <c r="L111" s="198"/>
      <c r="M111" s="199"/>
      <c r="N111" s="199"/>
      <c r="O111" s="199"/>
      <c r="P111" s="199"/>
      <c r="Q111" s="199"/>
      <c r="R111" s="199"/>
      <c r="S111" s="200"/>
      <c r="T111" s="201"/>
      <c r="U111" s="587"/>
      <c r="V111" s="587"/>
      <c r="W111" s="587"/>
      <c r="X111" s="587"/>
      <c r="Y111" s="587"/>
      <c r="Z111" s="587"/>
      <c r="AA111" s="587"/>
      <c r="AB111" s="587"/>
      <c r="AC111" s="587"/>
      <c r="AD111" s="587"/>
      <c r="AE111" s="587"/>
      <c r="AF111" s="587"/>
      <c r="AG111" s="534"/>
    </row>
    <row r="112" spans="1:33" ht="12.75" customHeight="1" x14ac:dyDescent="0.2">
      <c r="D112" s="533"/>
      <c r="E112" s="202" cm="1">
        <f t="array" aca="1" ref="E112" ca="1">IF($R110=2,
         IF(AND(ACOMPANHAMENTO="PLE",ISNUMBER($F110)),
                SUMIF((OFFSET(CÁLCULO!$AM$15:$AW$15,$F110,0,OFFSET(ORÇAMENTO!$D$15,CRONO!$F110,0))),CRONO!E$12,OFFSET(CÁLCULO!$AB$15:$AL$15,$F110,0,OFFSET(ORÇAMENTO!$D$15,CRONO!$F110,0)))
                +IF(AND($F112&lt;&gt;"",$F112&lt;&gt;0),
                        SUMIF(CÁLCULO!$AM$15:$AW$44,CRONO!E$12,CÁLCULO!$AB$15:$AL$44)/(ORÇAMENTO!$X$15-CÁLCULO.TotalAdmLocal)*CRONO!$F112,
                        0),
                 E111*$S110),
          SUMIF(OFFSET($S112,1,0,$R110-2),($M110+1)&amp;"$",OFFSET(E112,1,0,$R110-2)))</f>
        <v>0</v>
      </c>
      <c r="F112" s="185" t="str">
        <f ca="1">IF(OR($R110&lt;&gt;2,AUTOEVENTO&lt;&gt;"manual",$F111&gt;0),"",
        IF(Import.TipoArredondamento="Tradicional",
              SUMIF(OFFSET(CÁLCULO!$M$15,CRONO!$F110,0,OFFSET(ORÇAMENTO!$D$15,CRONO!$F110,0)),1,OFFSET(ORÇAMENTO!$X$15,CRONO!$F110,0,OFFSET(ORÇAMENTO!$D$15,CRONO!$F110,0))),
              0))</f>
        <v/>
      </c>
      <c r="H112" s="203"/>
      <c r="S112" s="204" t="str">
        <f t="shared" ref="S112" ca="1" si="199">M110&amp;"$"</f>
        <v>1$</v>
      </c>
      <c r="T112" s="205"/>
      <c r="U112" s="202" cm="1">
        <f t="array" aca="1" ref="U112" ca="1">IF($R110=2,
         IF(AND(ACOMPANHAMENTO="PLE",ISNUMBER($F110)),
                SUMIF((OFFSET(CÁLCULO!$AM$15:$AW$15,$F110,0,OFFSET(ORÇAMENTO!$D$15,CRONO!$F110,0))),CRONO!U$12,OFFSET(CÁLCULO!$AB$15:$AL$15,$F110,0,OFFSET(ORÇAMENTO!$D$15,CRONO!$F110,0)))
                +IF(AND($F112&lt;&gt;"",$F112&lt;&gt;0),
                        SUMIF(CÁLCULO!$AM$15:$AW$44,CRONO!U$12,CÁLCULO!$AB$15:$AL$44)/(ORÇAMENTO!$X$15-CÁLCULO.TotalAdmLocal)*CRONO!$F112,
                        0),
                 U111*$S110),
          SUMIF(OFFSET($S112,1,0,$R110-2),($M110+1)&amp;"$",OFFSET(U112,1,0,$R110-2)))</f>
        <v>0</v>
      </c>
      <c r="V112" s="202" cm="1">
        <f t="array" aca="1" ref="V112" ca="1">IF($R110=2,
         IF(AND(ACOMPANHAMENTO="PLE",ISNUMBER($F110)),
                SUMIF((OFFSET(CÁLCULO!$AM$15:$AW$15,$F110,0,OFFSET(ORÇAMENTO!$D$15,CRONO!$F110,0))),CRONO!V$12,OFFSET(CÁLCULO!$AB$15:$AL$15,$F110,0,OFFSET(ORÇAMENTO!$D$15,CRONO!$F110,0)))
                +IF(AND($F112&lt;&gt;"",$F112&lt;&gt;0),
                        SUMIF(CÁLCULO!$AM$15:$AW$44,CRONO!V$12,CÁLCULO!$AB$15:$AL$44)/(ORÇAMENTO!$X$15-CÁLCULO.TotalAdmLocal)*CRONO!$F112,
                        0),
                 V111*$S110),
          SUMIF(OFFSET($S112,1,0,$R110-2),($M110+1)&amp;"$",OFFSET(V112,1,0,$R110-2)))</f>
        <v>0</v>
      </c>
      <c r="W112" s="202" cm="1">
        <f t="array" aca="1" ref="W112" ca="1">IF($R110=2,
         IF(AND(ACOMPANHAMENTO="PLE",ISNUMBER($F110)),
                SUMIF((OFFSET(CÁLCULO!$AM$15:$AW$15,$F110,0,OFFSET(ORÇAMENTO!$D$15,CRONO!$F110,0))),CRONO!W$12,OFFSET(CÁLCULO!$AB$15:$AL$15,$F110,0,OFFSET(ORÇAMENTO!$D$15,CRONO!$F110,0)))
                +IF(AND($F112&lt;&gt;"",$F112&lt;&gt;0),
                        SUMIF(CÁLCULO!$AM$15:$AW$44,CRONO!W$12,CÁLCULO!$AB$15:$AL$44)/(ORÇAMENTO!$X$15-CÁLCULO.TotalAdmLocal)*CRONO!$F112,
                        0),
                 W111*$S110),
          SUMIF(OFFSET($S112,1,0,$R110-2),($M110+1)&amp;"$",OFFSET(W112,1,0,$R110-2)))</f>
        <v>0</v>
      </c>
      <c r="X112" s="202" cm="1">
        <f t="array" aca="1" ref="X112" ca="1">IF($R110=2,
         IF(AND(ACOMPANHAMENTO="PLE",ISNUMBER($F110)),
                SUMIF((OFFSET(CÁLCULO!$AM$15:$AW$15,$F110,0,OFFSET(ORÇAMENTO!$D$15,CRONO!$F110,0))),CRONO!X$12,OFFSET(CÁLCULO!$AB$15:$AL$15,$F110,0,OFFSET(ORÇAMENTO!$D$15,CRONO!$F110,0)))
                +IF(AND($F112&lt;&gt;"",$F112&lt;&gt;0),
                        SUMIF(CÁLCULO!$AM$15:$AW$44,CRONO!X$12,CÁLCULO!$AB$15:$AL$44)/(ORÇAMENTO!$X$15-CÁLCULO.TotalAdmLocal)*CRONO!$F112,
                        0),
                 X111*$S110),
          SUMIF(OFFSET($S112,1,0,$R110-2),($M110+1)&amp;"$",OFFSET(X112,1,0,$R110-2)))</f>
        <v>0</v>
      </c>
      <c r="Y112" s="202" cm="1">
        <f t="array" aca="1" ref="Y112" ca="1">IF($R110=2,
         IF(AND(ACOMPANHAMENTO="PLE",ISNUMBER($F110)),
                SUMIF((OFFSET(CÁLCULO!$AM$15:$AW$15,$F110,0,OFFSET(ORÇAMENTO!$D$15,CRONO!$F110,0))),CRONO!Y$12,OFFSET(CÁLCULO!$AB$15:$AL$15,$F110,0,OFFSET(ORÇAMENTO!$D$15,CRONO!$F110,0)))
                +IF(AND($F112&lt;&gt;"",$F112&lt;&gt;0),
                        SUMIF(CÁLCULO!$AM$15:$AW$44,CRONO!Y$12,CÁLCULO!$AB$15:$AL$44)/(ORÇAMENTO!$X$15-CÁLCULO.TotalAdmLocal)*CRONO!$F112,
                        0),
                 Y111*$S110),
          SUMIF(OFFSET($S112,1,0,$R110-2),($M110+1)&amp;"$",OFFSET(Y112,1,0,$R110-2)))</f>
        <v>0</v>
      </c>
      <c r="Z112" s="202" cm="1">
        <f t="array" aca="1" ref="Z112" ca="1">IF($R110=2,
         IF(AND(ACOMPANHAMENTO="PLE",ISNUMBER($F110)),
                SUMIF((OFFSET(CÁLCULO!$AM$15:$AW$15,$F110,0,OFFSET(ORÇAMENTO!$D$15,CRONO!$F110,0))),CRONO!Z$12,OFFSET(CÁLCULO!$AB$15:$AL$15,$F110,0,OFFSET(ORÇAMENTO!$D$15,CRONO!$F110,0)))
                +IF(AND($F112&lt;&gt;"",$F112&lt;&gt;0),
                        SUMIF(CÁLCULO!$AM$15:$AW$44,CRONO!Z$12,CÁLCULO!$AB$15:$AL$44)/(ORÇAMENTO!$X$15-CÁLCULO.TotalAdmLocal)*CRONO!$F112,
                        0),
                 Z111*$S110),
          SUMIF(OFFSET($S112,1,0,$R110-2),($M110+1)&amp;"$",OFFSET(Z112,1,0,$R110-2)))</f>
        <v>0</v>
      </c>
      <c r="AA112" s="202" cm="1">
        <f t="array" aca="1" ref="AA112" ca="1">IF($R110=2,
         IF(AND(ACOMPANHAMENTO="PLE",ISNUMBER($F110)),
                SUMIF((OFFSET(CÁLCULO!$AM$15:$AW$15,$F110,0,OFFSET(ORÇAMENTO!$D$15,CRONO!$F110,0))),CRONO!AA$12,OFFSET(CÁLCULO!$AB$15:$AL$15,$F110,0,OFFSET(ORÇAMENTO!$D$15,CRONO!$F110,0)))
                +IF(AND($F112&lt;&gt;"",$F112&lt;&gt;0),
                        SUMIF(CÁLCULO!$AM$15:$AW$44,CRONO!AA$12,CÁLCULO!$AB$15:$AL$44)/(ORÇAMENTO!$X$15-CÁLCULO.TotalAdmLocal)*CRONO!$F112,
                        0),
                 AA111*$S110),
          SUMIF(OFFSET($S112,1,0,$R110-2),($M110+1)&amp;"$",OFFSET(AA112,1,0,$R110-2)))</f>
        <v>0</v>
      </c>
      <c r="AB112" s="202" cm="1">
        <f t="array" aca="1" ref="AB112" ca="1">IF($R110=2,
         IF(AND(ACOMPANHAMENTO="PLE",ISNUMBER($F110)),
                SUMIF((OFFSET(CÁLCULO!$AM$15:$AW$15,$F110,0,OFFSET(ORÇAMENTO!$D$15,CRONO!$F110,0))),CRONO!AB$12,OFFSET(CÁLCULO!$AB$15:$AL$15,$F110,0,OFFSET(ORÇAMENTO!$D$15,CRONO!$F110,0)))
                +IF(AND($F112&lt;&gt;"",$F112&lt;&gt;0),
                        SUMIF(CÁLCULO!$AM$15:$AW$44,CRONO!AB$12,CÁLCULO!$AB$15:$AL$44)/(ORÇAMENTO!$X$15-CÁLCULO.TotalAdmLocal)*CRONO!$F112,
                        0),
                 AB111*$S110),
          SUMIF(OFFSET($S112,1,0,$R110-2),($M110+1)&amp;"$",OFFSET(AB112,1,0,$R110-2)))</f>
        <v>0</v>
      </c>
      <c r="AC112" s="202" cm="1">
        <f t="array" aca="1" ref="AC112" ca="1">IF($R110=2,
         IF(AND(ACOMPANHAMENTO="PLE",ISNUMBER($F110)),
                SUMIF((OFFSET(CÁLCULO!$AM$15:$AW$15,$F110,0,OFFSET(ORÇAMENTO!$D$15,CRONO!$F110,0))),CRONO!AC$12,OFFSET(CÁLCULO!$AB$15:$AL$15,$F110,0,OFFSET(ORÇAMENTO!$D$15,CRONO!$F110,0)))
                +IF(AND($F112&lt;&gt;"",$F112&lt;&gt;0),
                        SUMIF(CÁLCULO!$AM$15:$AW$44,CRONO!AC$12,CÁLCULO!$AB$15:$AL$44)/(ORÇAMENTO!$X$15-CÁLCULO.TotalAdmLocal)*CRONO!$F112,
                        0),
                 AC111*$S110),
          SUMIF(OFFSET($S112,1,0,$R110-2),($M110+1)&amp;"$",OFFSET(AC112,1,0,$R110-2)))</f>
        <v>0</v>
      </c>
      <c r="AD112" s="202" cm="1">
        <f t="array" aca="1" ref="AD112" ca="1">IF($R110=2,
         IF(AND(ACOMPANHAMENTO="PLE",ISNUMBER($F110)),
                SUMIF((OFFSET(CÁLCULO!$AM$15:$AW$15,$F110,0,OFFSET(ORÇAMENTO!$D$15,CRONO!$F110,0))),CRONO!AD$12,OFFSET(CÁLCULO!$AB$15:$AL$15,$F110,0,OFFSET(ORÇAMENTO!$D$15,CRONO!$F110,0)))
                +IF(AND($F112&lt;&gt;"",$F112&lt;&gt;0),
                        SUMIF(CÁLCULO!$AM$15:$AW$44,CRONO!AD$12,CÁLCULO!$AB$15:$AL$44)/(ORÇAMENTO!$X$15-CÁLCULO.TotalAdmLocal)*CRONO!$F112,
                        0),
                 AD111*$S110),
          SUMIF(OFFSET($S112,1,0,$R110-2),($M110+1)&amp;"$",OFFSET(AD112,1,0,$R110-2)))</f>
        <v>0</v>
      </c>
      <c r="AE112" s="202" cm="1">
        <f t="array" aca="1" ref="AE112" ca="1">IF($R110=2,
         IF(AND(ACOMPANHAMENTO="PLE",ISNUMBER($F110)),
                SUMIF((OFFSET(CÁLCULO!$AM$15:$AW$15,$F110,0,OFFSET(ORÇAMENTO!$D$15,CRONO!$F110,0))),CRONO!AE$12,OFFSET(CÁLCULO!$AB$15:$AL$15,$F110,0,OFFSET(ORÇAMENTO!$D$15,CRONO!$F110,0)))
                +IF(AND($F112&lt;&gt;"",$F112&lt;&gt;0),
                        SUMIF(CÁLCULO!$AM$15:$AW$44,CRONO!AE$12,CÁLCULO!$AB$15:$AL$44)/(ORÇAMENTO!$X$15-CÁLCULO.TotalAdmLocal)*CRONO!$F112,
                        0),
                 AE111*$S110),
          SUMIF(OFFSET($S112,1,0,$R110-2),($M110+1)&amp;"$",OFFSET(AE112,1,0,$R110-2)))</f>
        <v>0</v>
      </c>
      <c r="AF112" s="202" cm="1">
        <f t="array" aca="1" ref="AF112" ca="1">IF($R110=2,
         IF(AND(ACOMPANHAMENTO="PLE",ISNUMBER($F110)),
                SUMIF((OFFSET(CÁLCULO!$AM$15:$AW$15,$F110,0,OFFSET(ORÇAMENTO!$D$15,CRONO!$F110,0))),CRONO!AF$12,OFFSET(CÁLCULO!$AB$15:$AL$15,$F110,0,OFFSET(ORÇAMENTO!$D$15,CRONO!$F110,0)))
                +IF(AND($F112&lt;&gt;"",$F112&lt;&gt;0),
                        SUMIF(CÁLCULO!$AM$15:$AW$44,CRONO!AF$12,CÁLCULO!$AB$15:$AL$44)/(ORÇAMENTO!$X$15-CÁLCULO.TotalAdmLocal)*CRONO!$F112,
                        0),
                 AF111*$S110),
          SUMIF(OFFSET($S112,1,0,$R110-2),($M110+1)&amp;"$",OFFSET(AF112,1,0,$R110-2)))</f>
        <v>0</v>
      </c>
      <c r="AG112" s="534"/>
    </row>
    <row r="113" spans="1:33" x14ac:dyDescent="0.2">
      <c r="A113" s="186" t="str">
        <f t="shared" ref="A113" ca="1" si="200">IF($M113&gt;1,_xlfn.CONCAT($I113," ",$J113),"")</f>
        <v/>
      </c>
      <c r="B113" s="185">
        <f t="shared" ref="B113" ca="1" si="201">OFFSET(B113,-3,0)+1</f>
        <v>34</v>
      </c>
      <c r="C113" s="185">
        <f ca="1">IF($R113&lt;&gt;2,0,IF($S113=0,1,IF(F114&gt;0,OFFSET(QCI!$M$13,SUBSTITUTE(F114,".",""),0),OFFSET(ORÇAMENTO!$AA$15,CRONO!$F113,0))/$S113))</f>
        <v>0</v>
      </c>
      <c r="D113" s="185">
        <f ca="1">IF($R113&lt;&gt;2,0,IF($S113=0,1,IF(F114&gt;0,OFFSET(QCI!$N$13,SUBSTITUTE(F114,".",""),0),OFFSET(ORÇAMENTO!$AB$15,CRONO!$F113,0))/$S113))</f>
        <v>0</v>
      </c>
      <c r="E113" s="188" t="e" cm="1">
        <f t="array" aca="1" ref="E113" ca="1">IF(AND($R113=2,ACOMPANHAMENTO="BM"),ROUND(E114,4),E115/$S113)</f>
        <v>#VALUE!</v>
      </c>
      <c r="F113" s="185" t="e" cm="1">
        <f t="array" aca="1" ref="F113" ca="1">IF(B113&lt;=ORÇAMENTO.MáximoListaCrono,MATCH(B113,ORÇAMENTO.ListaCrono,0),NA())</f>
        <v>#N/A</v>
      </c>
      <c r="G113" s="185" t="str">
        <f t="shared" ref="G113" ca="1" si="202">IF(AND($F114&lt;&gt;-1,$S113&gt;0),"F","")</f>
        <v/>
      </c>
      <c r="H113" s="189" t="str" cm="1">
        <f t="array" aca="1" ref="H113" ca="1">IF(OR(S113=0,S113=""),"Linha",IF(AND(OR(ACOMPANHAMENTO="PLE",$R113&lt;&gt;2),$F114=0),"Linha",ROUND(1-SUM(U113:AG113),4)))</f>
        <v>Linha</v>
      </c>
      <c r="I113" s="190" t="str">
        <f ca="1">IF($F114=0,OFFSET(ORÇAMENTO!O$15,$F113,0),IF($F114&lt;&gt;-1,OFFSET(QCI!$D$13,$F114,0),""))</f>
        <v/>
      </c>
      <c r="J113" s="191" t="str">
        <f ca="1">IF($F114=0,OFFSET(ORÇAMENTO!R$15,$F113,0),IF($F114&lt;&gt;-1,OFFSET(QCI!$G$13,$F114,0),""))</f>
        <v/>
      </c>
      <c r="K113" s="191"/>
      <c r="L113" s="191"/>
      <c r="M113" s="192">
        <f ca="1">IF($F114=0,OFFSET(ORÇAMENTO!C$15,$F113,0),1)</f>
        <v>1</v>
      </c>
      <c r="N113" s="193">
        <f ca="1">IF($F114=-1,0,IF(N$13&lt;=$M113,IF(ISERROR(MATCH(N$13,OFFSET($M113,1,0,ROW($M$164)-ROW($M113)-1),0)),ROW($M$164)-ROW($M113)-1,MATCH(N$13,OFFSET($M113,1,0,ROW($M$164)-ROW($M113)-1),0)-1),0))</f>
        <v>0</v>
      </c>
      <c r="O113" s="193">
        <f ca="1">IF($F114=-1,0,IF(O$13&lt;=$M113,IF(ISERROR(MATCH(O$13,OFFSET($M113,1,0,ROW($M$164)-ROW($M113)-1),0)),ROW($M$164)-ROW($M113)-1,MATCH(O$13,OFFSET($M113,1,0,ROW($M$164)-ROW($M113)-1),0)-1),0))</f>
        <v>0</v>
      </c>
      <c r="P113" s="193">
        <f ca="1">IF($F114=-1,0,IF(P$13&lt;=$M113,IF(ISERROR(MATCH(P$13,OFFSET($M113,1,0,ROW($M$164)-ROW($M113)-1),0)),ROW($M$164)-ROW($M113)-1,MATCH(P$13,OFFSET($M113,1,0,ROW($M$164)-ROW($M113)-1),0)-1),0))</f>
        <v>0</v>
      </c>
      <c r="Q113" s="193">
        <f ca="1">IF($F114=-1,0,IF(Q$13&lt;=$M113,IF(ISERROR(MATCH(Q$13,OFFSET($M113,1,0,ROW($M$164)-ROW($M113)-1),0)),ROW($M$164)-ROW($M113)-1,MATCH(Q$13,OFFSET($M113,1,0,ROW($M$164)-ROW($M113)-1),0)-1),0))</f>
        <v>0</v>
      </c>
      <c r="R113" s="193">
        <f t="shared" ref="R113" ca="1" si="203">MIN(OFFSET(M113,0,1,,M113))</f>
        <v>0</v>
      </c>
      <c r="S113" s="194" t="str">
        <f ca="1">IF($F114=0,OFFSET(ORÇAMENTO!X$15,$F113,0),IF($F114&lt;&gt;-1,OFFSET(QCI!$O$13,$F114,0),""))</f>
        <v/>
      </c>
      <c r="T113" s="195" t="s">
        <v>785</v>
      </c>
      <c r="U113" s="188" t="e" cm="1">
        <f t="array" aca="1" ref="U113" ca="1">IF(AND($R113=2,ACOMPANHAMENTO="BM"),ROUND(U114,4),U115/$S113)</f>
        <v>#VALUE!</v>
      </c>
      <c r="V113" s="188" t="e" cm="1">
        <f t="array" aca="1" ref="V113" ca="1">IF(AND($R113=2,ACOMPANHAMENTO="BM"),ROUND(V114,4),V115/$S113)</f>
        <v>#VALUE!</v>
      </c>
      <c r="W113" s="188" t="e" cm="1">
        <f t="array" aca="1" ref="W113" ca="1">IF(AND($R113=2,ACOMPANHAMENTO="BM"),ROUND(W114,4),W115/$S113)</f>
        <v>#VALUE!</v>
      </c>
      <c r="X113" s="188" t="e" cm="1">
        <f t="array" aca="1" ref="X113" ca="1">IF(AND($R113=2,ACOMPANHAMENTO="BM"),ROUND(X114,4),X115/$S113)</f>
        <v>#VALUE!</v>
      </c>
      <c r="Y113" s="188" t="e" cm="1">
        <f t="array" aca="1" ref="Y113" ca="1">IF(AND($R113=2,ACOMPANHAMENTO="BM"),ROUND(Y114,4),Y115/$S113)</f>
        <v>#VALUE!</v>
      </c>
      <c r="Z113" s="188" t="e" cm="1">
        <f t="array" aca="1" ref="Z113" ca="1">IF(AND($R113=2,ACOMPANHAMENTO="BM"),ROUND(Z114,4),Z115/$S113)</f>
        <v>#VALUE!</v>
      </c>
      <c r="AA113" s="188" t="e" cm="1">
        <f t="array" aca="1" ref="AA113" ca="1">IF(AND($R113=2,ACOMPANHAMENTO="BM"),ROUND(AA114,4),AA115/$S113)</f>
        <v>#VALUE!</v>
      </c>
      <c r="AB113" s="188" t="e" cm="1">
        <f t="array" aca="1" ref="AB113" ca="1">IF(AND($R113=2,ACOMPANHAMENTO="BM"),ROUND(AB114,4),AB115/$S113)</f>
        <v>#VALUE!</v>
      </c>
      <c r="AC113" s="188" t="e" cm="1">
        <f t="array" aca="1" ref="AC113" ca="1">IF(AND($R113=2,ACOMPANHAMENTO="BM"),ROUND(AC114,4),AC115/$S113)</f>
        <v>#VALUE!</v>
      </c>
      <c r="AD113" s="188" t="e" cm="1">
        <f t="array" aca="1" ref="AD113" ca="1">IF(AND($R113=2,ACOMPANHAMENTO="BM"),ROUND(AD114,4),AD115/$S113)</f>
        <v>#VALUE!</v>
      </c>
      <c r="AE113" s="188" t="e" cm="1">
        <f t="array" aca="1" ref="AE113" ca="1">IF(AND($R113=2,ACOMPANHAMENTO="BM"),ROUND(AE114,4),AE115/$S113)</f>
        <v>#VALUE!</v>
      </c>
      <c r="AF113" s="188" t="e" cm="1">
        <f t="array" aca="1" ref="AF113" ca="1">IF(AND($R113=2,ACOMPANHAMENTO="BM"),ROUND(AF114,4),AF115/$S113)</f>
        <v>#VALUE!</v>
      </c>
      <c r="AG113" s="534"/>
    </row>
    <row r="114" spans="1:33" ht="12.75" customHeight="1" x14ac:dyDescent="0.2">
      <c r="E114" s="587"/>
      <c r="F114" s="185">
        <f ca="1">IF(ISERROR(F113),IF(1+COUNTIF($M$13:OFFSET(M113,-1,0),1)&lt;=MAX(QCI!$D$13:$D$24),1+COUNTIF($M$13:OFFSET(M113,-1,0),1),-1),0)</f>
        <v>-1</v>
      </c>
      <c r="G114" s="185" t="str" cm="1">
        <f t="array" aca="1" ref="G114" ca="1">IF(ACOMPANHAMENTO="BM",OFFSET(G114,-1,0),"")</f>
        <v/>
      </c>
      <c r="H114" s="196" t="str" cm="1">
        <f t="array" aca="1" ref="H114" ca="1">IF(OR(S113=0,S113=""),"vazia",IF(AND(OR(ACOMPANHAMENTO="PLE",$R113&lt;&gt;2),$F114=0),"calculada","--&gt;"))</f>
        <v>vazia</v>
      </c>
      <c r="I114" s="197"/>
      <c r="J114" s="198" t="str">
        <f t="shared" ref="J114" ca="1" si="204">IF(AND(H113&lt;&gt;0,ISNUMBER(H113)),"PREENCHA ESTA LINHA --&gt;","")</f>
        <v/>
      </c>
      <c r="K114" s="198"/>
      <c r="L114" s="198"/>
      <c r="M114" s="199"/>
      <c r="N114" s="199"/>
      <c r="O114" s="199"/>
      <c r="P114" s="199"/>
      <c r="Q114" s="199"/>
      <c r="R114" s="199"/>
      <c r="S114" s="200"/>
      <c r="T114" s="201"/>
      <c r="U114" s="587"/>
      <c r="V114" s="587"/>
      <c r="W114" s="587"/>
      <c r="X114" s="587"/>
      <c r="Y114" s="587"/>
      <c r="Z114" s="587"/>
      <c r="AA114" s="587"/>
      <c r="AB114" s="587"/>
      <c r="AC114" s="587"/>
      <c r="AD114" s="587"/>
      <c r="AE114" s="587"/>
      <c r="AF114" s="587"/>
      <c r="AG114" s="534"/>
    </row>
    <row r="115" spans="1:33" ht="12.75" customHeight="1" x14ac:dyDescent="0.2">
      <c r="D115" s="533"/>
      <c r="E115" s="202" cm="1">
        <f t="array" aca="1" ref="E115" ca="1">IF($R113=2,
         IF(AND(ACOMPANHAMENTO="PLE",ISNUMBER($F113)),
                SUMIF((OFFSET(CÁLCULO!$AM$15:$AW$15,$F113,0,OFFSET(ORÇAMENTO!$D$15,CRONO!$F113,0))),CRONO!E$12,OFFSET(CÁLCULO!$AB$15:$AL$15,$F113,0,OFFSET(ORÇAMENTO!$D$15,CRONO!$F113,0)))
                +IF(AND($F115&lt;&gt;"",$F115&lt;&gt;0),
                        SUMIF(CÁLCULO!$AM$15:$AW$44,CRONO!E$12,CÁLCULO!$AB$15:$AL$44)/(ORÇAMENTO!$X$15-CÁLCULO.TotalAdmLocal)*CRONO!$F115,
                        0),
                 E114*$S113),
          SUMIF(OFFSET($S115,1,0,$R113-2),($M113+1)&amp;"$",OFFSET(E115,1,0,$R113-2)))</f>
        <v>0</v>
      </c>
      <c r="F115" s="185" t="str">
        <f ca="1">IF(OR($R113&lt;&gt;2,AUTOEVENTO&lt;&gt;"manual",$F114&gt;0),"",
        IF(Import.TipoArredondamento="Tradicional",
              SUMIF(OFFSET(CÁLCULO!$M$15,CRONO!$F113,0,OFFSET(ORÇAMENTO!$D$15,CRONO!$F113,0)),1,OFFSET(ORÇAMENTO!$X$15,CRONO!$F113,0,OFFSET(ORÇAMENTO!$D$15,CRONO!$F113,0))),
              0))</f>
        <v/>
      </c>
      <c r="H115" s="203"/>
      <c r="S115" s="204" t="str">
        <f t="shared" ref="S115" ca="1" si="205">M113&amp;"$"</f>
        <v>1$</v>
      </c>
      <c r="T115" s="205"/>
      <c r="U115" s="202" cm="1">
        <f t="array" aca="1" ref="U115" ca="1">IF($R113=2,
         IF(AND(ACOMPANHAMENTO="PLE",ISNUMBER($F113)),
                SUMIF((OFFSET(CÁLCULO!$AM$15:$AW$15,$F113,0,OFFSET(ORÇAMENTO!$D$15,CRONO!$F113,0))),CRONO!U$12,OFFSET(CÁLCULO!$AB$15:$AL$15,$F113,0,OFFSET(ORÇAMENTO!$D$15,CRONO!$F113,0)))
                +IF(AND($F115&lt;&gt;"",$F115&lt;&gt;0),
                        SUMIF(CÁLCULO!$AM$15:$AW$44,CRONO!U$12,CÁLCULO!$AB$15:$AL$44)/(ORÇAMENTO!$X$15-CÁLCULO.TotalAdmLocal)*CRONO!$F115,
                        0),
                 U114*$S113),
          SUMIF(OFFSET($S115,1,0,$R113-2),($M113+1)&amp;"$",OFFSET(U115,1,0,$R113-2)))</f>
        <v>0</v>
      </c>
      <c r="V115" s="202" cm="1">
        <f t="array" aca="1" ref="V115" ca="1">IF($R113=2,
         IF(AND(ACOMPANHAMENTO="PLE",ISNUMBER($F113)),
                SUMIF((OFFSET(CÁLCULO!$AM$15:$AW$15,$F113,0,OFFSET(ORÇAMENTO!$D$15,CRONO!$F113,0))),CRONO!V$12,OFFSET(CÁLCULO!$AB$15:$AL$15,$F113,0,OFFSET(ORÇAMENTO!$D$15,CRONO!$F113,0)))
                +IF(AND($F115&lt;&gt;"",$F115&lt;&gt;0),
                        SUMIF(CÁLCULO!$AM$15:$AW$44,CRONO!V$12,CÁLCULO!$AB$15:$AL$44)/(ORÇAMENTO!$X$15-CÁLCULO.TotalAdmLocal)*CRONO!$F115,
                        0),
                 V114*$S113),
          SUMIF(OFFSET($S115,1,0,$R113-2),($M113+1)&amp;"$",OFFSET(V115,1,0,$R113-2)))</f>
        <v>0</v>
      </c>
      <c r="W115" s="202" cm="1">
        <f t="array" aca="1" ref="W115" ca="1">IF($R113=2,
         IF(AND(ACOMPANHAMENTO="PLE",ISNUMBER($F113)),
                SUMIF((OFFSET(CÁLCULO!$AM$15:$AW$15,$F113,0,OFFSET(ORÇAMENTO!$D$15,CRONO!$F113,0))),CRONO!W$12,OFFSET(CÁLCULO!$AB$15:$AL$15,$F113,0,OFFSET(ORÇAMENTO!$D$15,CRONO!$F113,0)))
                +IF(AND($F115&lt;&gt;"",$F115&lt;&gt;0),
                        SUMIF(CÁLCULO!$AM$15:$AW$44,CRONO!W$12,CÁLCULO!$AB$15:$AL$44)/(ORÇAMENTO!$X$15-CÁLCULO.TotalAdmLocal)*CRONO!$F115,
                        0),
                 W114*$S113),
          SUMIF(OFFSET($S115,1,0,$R113-2),($M113+1)&amp;"$",OFFSET(W115,1,0,$R113-2)))</f>
        <v>0</v>
      </c>
      <c r="X115" s="202" cm="1">
        <f t="array" aca="1" ref="X115" ca="1">IF($R113=2,
         IF(AND(ACOMPANHAMENTO="PLE",ISNUMBER($F113)),
                SUMIF((OFFSET(CÁLCULO!$AM$15:$AW$15,$F113,0,OFFSET(ORÇAMENTO!$D$15,CRONO!$F113,0))),CRONO!X$12,OFFSET(CÁLCULO!$AB$15:$AL$15,$F113,0,OFFSET(ORÇAMENTO!$D$15,CRONO!$F113,0)))
                +IF(AND($F115&lt;&gt;"",$F115&lt;&gt;0),
                        SUMIF(CÁLCULO!$AM$15:$AW$44,CRONO!X$12,CÁLCULO!$AB$15:$AL$44)/(ORÇAMENTO!$X$15-CÁLCULO.TotalAdmLocal)*CRONO!$F115,
                        0),
                 X114*$S113),
          SUMIF(OFFSET($S115,1,0,$R113-2),($M113+1)&amp;"$",OFFSET(X115,1,0,$R113-2)))</f>
        <v>0</v>
      </c>
      <c r="Y115" s="202" cm="1">
        <f t="array" aca="1" ref="Y115" ca="1">IF($R113=2,
         IF(AND(ACOMPANHAMENTO="PLE",ISNUMBER($F113)),
                SUMIF((OFFSET(CÁLCULO!$AM$15:$AW$15,$F113,0,OFFSET(ORÇAMENTO!$D$15,CRONO!$F113,0))),CRONO!Y$12,OFFSET(CÁLCULO!$AB$15:$AL$15,$F113,0,OFFSET(ORÇAMENTO!$D$15,CRONO!$F113,0)))
                +IF(AND($F115&lt;&gt;"",$F115&lt;&gt;0),
                        SUMIF(CÁLCULO!$AM$15:$AW$44,CRONO!Y$12,CÁLCULO!$AB$15:$AL$44)/(ORÇAMENTO!$X$15-CÁLCULO.TotalAdmLocal)*CRONO!$F115,
                        0),
                 Y114*$S113),
          SUMIF(OFFSET($S115,1,0,$R113-2),($M113+1)&amp;"$",OFFSET(Y115,1,0,$R113-2)))</f>
        <v>0</v>
      </c>
      <c r="Z115" s="202" cm="1">
        <f t="array" aca="1" ref="Z115" ca="1">IF($R113=2,
         IF(AND(ACOMPANHAMENTO="PLE",ISNUMBER($F113)),
                SUMIF((OFFSET(CÁLCULO!$AM$15:$AW$15,$F113,0,OFFSET(ORÇAMENTO!$D$15,CRONO!$F113,0))),CRONO!Z$12,OFFSET(CÁLCULO!$AB$15:$AL$15,$F113,0,OFFSET(ORÇAMENTO!$D$15,CRONO!$F113,0)))
                +IF(AND($F115&lt;&gt;"",$F115&lt;&gt;0),
                        SUMIF(CÁLCULO!$AM$15:$AW$44,CRONO!Z$12,CÁLCULO!$AB$15:$AL$44)/(ORÇAMENTO!$X$15-CÁLCULO.TotalAdmLocal)*CRONO!$F115,
                        0),
                 Z114*$S113),
          SUMIF(OFFSET($S115,1,0,$R113-2),($M113+1)&amp;"$",OFFSET(Z115,1,0,$R113-2)))</f>
        <v>0</v>
      </c>
      <c r="AA115" s="202" cm="1">
        <f t="array" aca="1" ref="AA115" ca="1">IF($R113=2,
         IF(AND(ACOMPANHAMENTO="PLE",ISNUMBER($F113)),
                SUMIF((OFFSET(CÁLCULO!$AM$15:$AW$15,$F113,0,OFFSET(ORÇAMENTO!$D$15,CRONO!$F113,0))),CRONO!AA$12,OFFSET(CÁLCULO!$AB$15:$AL$15,$F113,0,OFFSET(ORÇAMENTO!$D$15,CRONO!$F113,0)))
                +IF(AND($F115&lt;&gt;"",$F115&lt;&gt;0),
                        SUMIF(CÁLCULO!$AM$15:$AW$44,CRONO!AA$12,CÁLCULO!$AB$15:$AL$44)/(ORÇAMENTO!$X$15-CÁLCULO.TotalAdmLocal)*CRONO!$F115,
                        0),
                 AA114*$S113),
          SUMIF(OFFSET($S115,1,0,$R113-2),($M113+1)&amp;"$",OFFSET(AA115,1,0,$R113-2)))</f>
        <v>0</v>
      </c>
      <c r="AB115" s="202" cm="1">
        <f t="array" aca="1" ref="AB115" ca="1">IF($R113=2,
         IF(AND(ACOMPANHAMENTO="PLE",ISNUMBER($F113)),
                SUMIF((OFFSET(CÁLCULO!$AM$15:$AW$15,$F113,0,OFFSET(ORÇAMENTO!$D$15,CRONO!$F113,0))),CRONO!AB$12,OFFSET(CÁLCULO!$AB$15:$AL$15,$F113,0,OFFSET(ORÇAMENTO!$D$15,CRONO!$F113,0)))
                +IF(AND($F115&lt;&gt;"",$F115&lt;&gt;0),
                        SUMIF(CÁLCULO!$AM$15:$AW$44,CRONO!AB$12,CÁLCULO!$AB$15:$AL$44)/(ORÇAMENTO!$X$15-CÁLCULO.TotalAdmLocal)*CRONO!$F115,
                        0),
                 AB114*$S113),
          SUMIF(OFFSET($S115,1,0,$R113-2),($M113+1)&amp;"$",OFFSET(AB115,1,0,$R113-2)))</f>
        <v>0</v>
      </c>
      <c r="AC115" s="202" cm="1">
        <f t="array" aca="1" ref="AC115" ca="1">IF($R113=2,
         IF(AND(ACOMPANHAMENTO="PLE",ISNUMBER($F113)),
                SUMIF((OFFSET(CÁLCULO!$AM$15:$AW$15,$F113,0,OFFSET(ORÇAMENTO!$D$15,CRONO!$F113,0))),CRONO!AC$12,OFFSET(CÁLCULO!$AB$15:$AL$15,$F113,0,OFFSET(ORÇAMENTO!$D$15,CRONO!$F113,0)))
                +IF(AND($F115&lt;&gt;"",$F115&lt;&gt;0),
                        SUMIF(CÁLCULO!$AM$15:$AW$44,CRONO!AC$12,CÁLCULO!$AB$15:$AL$44)/(ORÇAMENTO!$X$15-CÁLCULO.TotalAdmLocal)*CRONO!$F115,
                        0),
                 AC114*$S113),
          SUMIF(OFFSET($S115,1,0,$R113-2),($M113+1)&amp;"$",OFFSET(AC115,1,0,$R113-2)))</f>
        <v>0</v>
      </c>
      <c r="AD115" s="202" cm="1">
        <f t="array" aca="1" ref="AD115" ca="1">IF($R113=2,
         IF(AND(ACOMPANHAMENTO="PLE",ISNUMBER($F113)),
                SUMIF((OFFSET(CÁLCULO!$AM$15:$AW$15,$F113,0,OFFSET(ORÇAMENTO!$D$15,CRONO!$F113,0))),CRONO!AD$12,OFFSET(CÁLCULO!$AB$15:$AL$15,$F113,0,OFFSET(ORÇAMENTO!$D$15,CRONO!$F113,0)))
                +IF(AND($F115&lt;&gt;"",$F115&lt;&gt;0),
                        SUMIF(CÁLCULO!$AM$15:$AW$44,CRONO!AD$12,CÁLCULO!$AB$15:$AL$44)/(ORÇAMENTO!$X$15-CÁLCULO.TotalAdmLocal)*CRONO!$F115,
                        0),
                 AD114*$S113),
          SUMIF(OFFSET($S115,1,0,$R113-2),($M113+1)&amp;"$",OFFSET(AD115,1,0,$R113-2)))</f>
        <v>0</v>
      </c>
      <c r="AE115" s="202" cm="1">
        <f t="array" aca="1" ref="AE115" ca="1">IF($R113=2,
         IF(AND(ACOMPANHAMENTO="PLE",ISNUMBER($F113)),
                SUMIF((OFFSET(CÁLCULO!$AM$15:$AW$15,$F113,0,OFFSET(ORÇAMENTO!$D$15,CRONO!$F113,0))),CRONO!AE$12,OFFSET(CÁLCULO!$AB$15:$AL$15,$F113,0,OFFSET(ORÇAMENTO!$D$15,CRONO!$F113,0)))
                +IF(AND($F115&lt;&gt;"",$F115&lt;&gt;0),
                        SUMIF(CÁLCULO!$AM$15:$AW$44,CRONO!AE$12,CÁLCULO!$AB$15:$AL$44)/(ORÇAMENTO!$X$15-CÁLCULO.TotalAdmLocal)*CRONO!$F115,
                        0),
                 AE114*$S113),
          SUMIF(OFFSET($S115,1,0,$R113-2),($M113+1)&amp;"$",OFFSET(AE115,1,0,$R113-2)))</f>
        <v>0</v>
      </c>
      <c r="AF115" s="202" cm="1">
        <f t="array" aca="1" ref="AF115" ca="1">IF($R113=2,
         IF(AND(ACOMPANHAMENTO="PLE",ISNUMBER($F113)),
                SUMIF((OFFSET(CÁLCULO!$AM$15:$AW$15,$F113,0,OFFSET(ORÇAMENTO!$D$15,CRONO!$F113,0))),CRONO!AF$12,OFFSET(CÁLCULO!$AB$15:$AL$15,$F113,0,OFFSET(ORÇAMENTO!$D$15,CRONO!$F113,0)))
                +IF(AND($F115&lt;&gt;"",$F115&lt;&gt;0),
                        SUMIF(CÁLCULO!$AM$15:$AW$44,CRONO!AF$12,CÁLCULO!$AB$15:$AL$44)/(ORÇAMENTO!$X$15-CÁLCULO.TotalAdmLocal)*CRONO!$F115,
                        0),
                 AF114*$S113),
          SUMIF(OFFSET($S115,1,0,$R113-2),($M113+1)&amp;"$",OFFSET(AF115,1,0,$R113-2)))</f>
        <v>0</v>
      </c>
      <c r="AG115" s="534"/>
    </row>
    <row r="116" spans="1:33" x14ac:dyDescent="0.2">
      <c r="A116" s="186" t="str">
        <f t="shared" ref="A116" ca="1" si="206">IF($M116&gt;1,_xlfn.CONCAT($I116," ",$J116),"")</f>
        <v/>
      </c>
      <c r="B116" s="185">
        <f t="shared" ref="B116" ca="1" si="207">OFFSET(B116,-3,0)+1</f>
        <v>35</v>
      </c>
      <c r="C116" s="185">
        <f ca="1">IF($R116&lt;&gt;2,0,IF($S116=0,1,IF(F117&gt;0,OFFSET(QCI!$M$13,SUBSTITUTE(F117,".",""),0),OFFSET(ORÇAMENTO!$AA$15,CRONO!$F116,0))/$S116))</f>
        <v>0</v>
      </c>
      <c r="D116" s="185">
        <f ca="1">IF($R116&lt;&gt;2,0,IF($S116=0,1,IF(F117&gt;0,OFFSET(QCI!$N$13,SUBSTITUTE(F117,".",""),0),OFFSET(ORÇAMENTO!$AB$15,CRONO!$F116,0))/$S116))</f>
        <v>0</v>
      </c>
      <c r="E116" s="188" t="e" cm="1">
        <f t="array" aca="1" ref="E116" ca="1">IF(AND($R116=2,ACOMPANHAMENTO="BM"),ROUND(E117,4),E118/$S116)</f>
        <v>#VALUE!</v>
      </c>
      <c r="F116" s="185" t="e" cm="1">
        <f t="array" aca="1" ref="F116" ca="1">IF(B116&lt;=ORÇAMENTO.MáximoListaCrono,MATCH(B116,ORÇAMENTO.ListaCrono,0),NA())</f>
        <v>#N/A</v>
      </c>
      <c r="G116" s="185" t="str">
        <f t="shared" ref="G116" ca="1" si="208">IF(AND($F117&lt;&gt;-1,$S116&gt;0),"F","")</f>
        <v/>
      </c>
      <c r="H116" s="189" t="str" cm="1">
        <f t="array" aca="1" ref="H116" ca="1">IF(OR(S116=0,S116=""),"Linha",IF(AND(OR(ACOMPANHAMENTO="PLE",$R116&lt;&gt;2),$F117=0),"Linha",ROUND(1-SUM(U116:AG116),4)))</f>
        <v>Linha</v>
      </c>
      <c r="I116" s="190" t="str">
        <f ca="1">IF($F117=0,OFFSET(ORÇAMENTO!O$15,$F116,0),IF($F117&lt;&gt;-1,OFFSET(QCI!$D$13,$F117,0),""))</f>
        <v/>
      </c>
      <c r="J116" s="191" t="str">
        <f ca="1">IF($F117=0,OFFSET(ORÇAMENTO!R$15,$F116,0),IF($F117&lt;&gt;-1,OFFSET(QCI!$G$13,$F117,0),""))</f>
        <v/>
      </c>
      <c r="K116" s="191"/>
      <c r="L116" s="191"/>
      <c r="M116" s="192">
        <f ca="1">IF($F117=0,OFFSET(ORÇAMENTO!C$15,$F116,0),1)</f>
        <v>1</v>
      </c>
      <c r="N116" s="193">
        <f ca="1">IF($F117=-1,0,IF(N$13&lt;=$M116,IF(ISERROR(MATCH(N$13,OFFSET($M116,1,0,ROW($M$164)-ROW($M116)-1),0)),ROW($M$164)-ROW($M116)-1,MATCH(N$13,OFFSET($M116,1,0,ROW($M$164)-ROW($M116)-1),0)-1),0))</f>
        <v>0</v>
      </c>
      <c r="O116" s="193">
        <f ca="1">IF($F117=-1,0,IF(O$13&lt;=$M116,IF(ISERROR(MATCH(O$13,OFFSET($M116,1,0,ROW($M$164)-ROW($M116)-1),0)),ROW($M$164)-ROW($M116)-1,MATCH(O$13,OFFSET($M116,1,0,ROW($M$164)-ROW($M116)-1),0)-1),0))</f>
        <v>0</v>
      </c>
      <c r="P116" s="193">
        <f ca="1">IF($F117=-1,0,IF(P$13&lt;=$M116,IF(ISERROR(MATCH(P$13,OFFSET($M116,1,0,ROW($M$164)-ROW($M116)-1),0)),ROW($M$164)-ROW($M116)-1,MATCH(P$13,OFFSET($M116,1,0,ROW($M$164)-ROW($M116)-1),0)-1),0))</f>
        <v>0</v>
      </c>
      <c r="Q116" s="193">
        <f ca="1">IF($F117=-1,0,IF(Q$13&lt;=$M116,IF(ISERROR(MATCH(Q$13,OFFSET($M116,1,0,ROW($M$164)-ROW($M116)-1),0)),ROW($M$164)-ROW($M116)-1,MATCH(Q$13,OFFSET($M116,1,0,ROW($M$164)-ROW($M116)-1),0)-1),0))</f>
        <v>0</v>
      </c>
      <c r="R116" s="193">
        <f t="shared" ref="R116" ca="1" si="209">MIN(OFFSET(M116,0,1,,M116))</f>
        <v>0</v>
      </c>
      <c r="S116" s="194" t="str">
        <f ca="1">IF($F117=0,OFFSET(ORÇAMENTO!X$15,$F116,0),IF($F117&lt;&gt;-1,OFFSET(QCI!$O$13,$F117,0),""))</f>
        <v/>
      </c>
      <c r="T116" s="195" t="s">
        <v>785</v>
      </c>
      <c r="U116" s="188" t="e" cm="1">
        <f t="array" aca="1" ref="U116" ca="1">IF(AND($R116=2,ACOMPANHAMENTO="BM"),ROUND(U117,4),U118/$S116)</f>
        <v>#VALUE!</v>
      </c>
      <c r="V116" s="188" t="e" cm="1">
        <f t="array" aca="1" ref="V116" ca="1">IF(AND($R116=2,ACOMPANHAMENTO="BM"),ROUND(V117,4),V118/$S116)</f>
        <v>#VALUE!</v>
      </c>
      <c r="W116" s="188" t="e" cm="1">
        <f t="array" aca="1" ref="W116" ca="1">IF(AND($R116=2,ACOMPANHAMENTO="BM"),ROUND(W117,4),W118/$S116)</f>
        <v>#VALUE!</v>
      </c>
      <c r="X116" s="188" t="e" cm="1">
        <f t="array" aca="1" ref="X116" ca="1">IF(AND($R116=2,ACOMPANHAMENTO="BM"),ROUND(X117,4),X118/$S116)</f>
        <v>#VALUE!</v>
      </c>
      <c r="Y116" s="188" t="e" cm="1">
        <f t="array" aca="1" ref="Y116" ca="1">IF(AND($R116=2,ACOMPANHAMENTO="BM"),ROUND(Y117,4),Y118/$S116)</f>
        <v>#VALUE!</v>
      </c>
      <c r="Z116" s="188" t="e" cm="1">
        <f t="array" aca="1" ref="Z116" ca="1">IF(AND($R116=2,ACOMPANHAMENTO="BM"),ROUND(Z117,4),Z118/$S116)</f>
        <v>#VALUE!</v>
      </c>
      <c r="AA116" s="188" t="e" cm="1">
        <f t="array" aca="1" ref="AA116" ca="1">IF(AND($R116=2,ACOMPANHAMENTO="BM"),ROUND(AA117,4),AA118/$S116)</f>
        <v>#VALUE!</v>
      </c>
      <c r="AB116" s="188" t="e" cm="1">
        <f t="array" aca="1" ref="AB116" ca="1">IF(AND($R116=2,ACOMPANHAMENTO="BM"),ROUND(AB117,4),AB118/$S116)</f>
        <v>#VALUE!</v>
      </c>
      <c r="AC116" s="188" t="e" cm="1">
        <f t="array" aca="1" ref="AC116" ca="1">IF(AND($R116=2,ACOMPANHAMENTO="BM"),ROUND(AC117,4),AC118/$S116)</f>
        <v>#VALUE!</v>
      </c>
      <c r="AD116" s="188" t="e" cm="1">
        <f t="array" aca="1" ref="AD116" ca="1">IF(AND($R116=2,ACOMPANHAMENTO="BM"),ROUND(AD117,4),AD118/$S116)</f>
        <v>#VALUE!</v>
      </c>
      <c r="AE116" s="188" t="e" cm="1">
        <f t="array" aca="1" ref="AE116" ca="1">IF(AND($R116=2,ACOMPANHAMENTO="BM"),ROUND(AE117,4),AE118/$S116)</f>
        <v>#VALUE!</v>
      </c>
      <c r="AF116" s="188" t="e" cm="1">
        <f t="array" aca="1" ref="AF116" ca="1">IF(AND($R116=2,ACOMPANHAMENTO="BM"),ROUND(AF117,4),AF118/$S116)</f>
        <v>#VALUE!</v>
      </c>
      <c r="AG116" s="534"/>
    </row>
    <row r="117" spans="1:33" ht="12.75" customHeight="1" x14ac:dyDescent="0.2">
      <c r="E117" s="587"/>
      <c r="F117" s="185">
        <f ca="1">IF(ISERROR(F116),IF(1+COUNTIF($M$13:OFFSET(M116,-1,0),1)&lt;=MAX(QCI!$D$13:$D$24),1+COUNTIF($M$13:OFFSET(M116,-1,0),1),-1),0)</f>
        <v>-1</v>
      </c>
      <c r="G117" s="185" t="str" cm="1">
        <f t="array" aca="1" ref="G117" ca="1">IF(ACOMPANHAMENTO="BM",OFFSET(G117,-1,0),"")</f>
        <v/>
      </c>
      <c r="H117" s="196" t="str" cm="1">
        <f t="array" aca="1" ref="H117" ca="1">IF(OR(S116=0,S116=""),"vazia",IF(AND(OR(ACOMPANHAMENTO="PLE",$R116&lt;&gt;2),$F117=0),"calculada","--&gt;"))</f>
        <v>vazia</v>
      </c>
      <c r="I117" s="197"/>
      <c r="J117" s="198" t="str">
        <f t="shared" ref="J117" ca="1" si="210">IF(AND(H116&lt;&gt;0,ISNUMBER(H116)),"PREENCHA ESTA LINHA --&gt;","")</f>
        <v/>
      </c>
      <c r="K117" s="198"/>
      <c r="L117" s="198"/>
      <c r="M117" s="199"/>
      <c r="N117" s="199"/>
      <c r="O117" s="199"/>
      <c r="P117" s="199"/>
      <c r="Q117" s="199"/>
      <c r="R117" s="199"/>
      <c r="S117" s="200"/>
      <c r="T117" s="201"/>
      <c r="U117" s="587"/>
      <c r="V117" s="587"/>
      <c r="W117" s="587"/>
      <c r="X117" s="587"/>
      <c r="Y117" s="587"/>
      <c r="Z117" s="587"/>
      <c r="AA117" s="587"/>
      <c r="AB117" s="587"/>
      <c r="AC117" s="587"/>
      <c r="AD117" s="587"/>
      <c r="AE117" s="587"/>
      <c r="AF117" s="587"/>
      <c r="AG117" s="534"/>
    </row>
    <row r="118" spans="1:33" ht="12.75" customHeight="1" x14ac:dyDescent="0.2">
      <c r="D118" s="533"/>
      <c r="E118" s="202" cm="1">
        <f t="array" aca="1" ref="E118" ca="1">IF($R116=2,
         IF(AND(ACOMPANHAMENTO="PLE",ISNUMBER($F116)),
                SUMIF((OFFSET(CÁLCULO!$AM$15:$AW$15,$F116,0,OFFSET(ORÇAMENTO!$D$15,CRONO!$F116,0))),CRONO!E$12,OFFSET(CÁLCULO!$AB$15:$AL$15,$F116,0,OFFSET(ORÇAMENTO!$D$15,CRONO!$F116,0)))
                +IF(AND($F118&lt;&gt;"",$F118&lt;&gt;0),
                        SUMIF(CÁLCULO!$AM$15:$AW$44,CRONO!E$12,CÁLCULO!$AB$15:$AL$44)/(ORÇAMENTO!$X$15-CÁLCULO.TotalAdmLocal)*CRONO!$F118,
                        0),
                 E117*$S116),
          SUMIF(OFFSET($S118,1,0,$R116-2),($M116+1)&amp;"$",OFFSET(E118,1,0,$R116-2)))</f>
        <v>0</v>
      </c>
      <c r="F118" s="185" t="str">
        <f ca="1">IF(OR($R116&lt;&gt;2,AUTOEVENTO&lt;&gt;"manual",$F117&gt;0),"",
        IF(Import.TipoArredondamento="Tradicional",
              SUMIF(OFFSET(CÁLCULO!$M$15,CRONO!$F116,0,OFFSET(ORÇAMENTO!$D$15,CRONO!$F116,0)),1,OFFSET(ORÇAMENTO!$X$15,CRONO!$F116,0,OFFSET(ORÇAMENTO!$D$15,CRONO!$F116,0))),
              0))</f>
        <v/>
      </c>
      <c r="H118" s="203"/>
      <c r="S118" s="204" t="str">
        <f t="shared" ref="S118" ca="1" si="211">M116&amp;"$"</f>
        <v>1$</v>
      </c>
      <c r="T118" s="205"/>
      <c r="U118" s="202" cm="1">
        <f t="array" aca="1" ref="U118" ca="1">IF($R116=2,
         IF(AND(ACOMPANHAMENTO="PLE",ISNUMBER($F116)),
                SUMIF((OFFSET(CÁLCULO!$AM$15:$AW$15,$F116,0,OFFSET(ORÇAMENTO!$D$15,CRONO!$F116,0))),CRONO!U$12,OFFSET(CÁLCULO!$AB$15:$AL$15,$F116,0,OFFSET(ORÇAMENTO!$D$15,CRONO!$F116,0)))
                +IF(AND($F118&lt;&gt;"",$F118&lt;&gt;0),
                        SUMIF(CÁLCULO!$AM$15:$AW$44,CRONO!U$12,CÁLCULO!$AB$15:$AL$44)/(ORÇAMENTO!$X$15-CÁLCULO.TotalAdmLocal)*CRONO!$F118,
                        0),
                 U117*$S116),
          SUMIF(OFFSET($S118,1,0,$R116-2),($M116+1)&amp;"$",OFFSET(U118,1,0,$R116-2)))</f>
        <v>0</v>
      </c>
      <c r="V118" s="202" cm="1">
        <f t="array" aca="1" ref="V118" ca="1">IF($R116=2,
         IF(AND(ACOMPANHAMENTO="PLE",ISNUMBER($F116)),
                SUMIF((OFFSET(CÁLCULO!$AM$15:$AW$15,$F116,0,OFFSET(ORÇAMENTO!$D$15,CRONO!$F116,0))),CRONO!V$12,OFFSET(CÁLCULO!$AB$15:$AL$15,$F116,0,OFFSET(ORÇAMENTO!$D$15,CRONO!$F116,0)))
                +IF(AND($F118&lt;&gt;"",$F118&lt;&gt;0),
                        SUMIF(CÁLCULO!$AM$15:$AW$44,CRONO!V$12,CÁLCULO!$AB$15:$AL$44)/(ORÇAMENTO!$X$15-CÁLCULO.TotalAdmLocal)*CRONO!$F118,
                        0),
                 V117*$S116),
          SUMIF(OFFSET($S118,1,0,$R116-2),($M116+1)&amp;"$",OFFSET(V118,1,0,$R116-2)))</f>
        <v>0</v>
      </c>
      <c r="W118" s="202" cm="1">
        <f t="array" aca="1" ref="W118" ca="1">IF($R116=2,
         IF(AND(ACOMPANHAMENTO="PLE",ISNUMBER($F116)),
                SUMIF((OFFSET(CÁLCULO!$AM$15:$AW$15,$F116,0,OFFSET(ORÇAMENTO!$D$15,CRONO!$F116,0))),CRONO!W$12,OFFSET(CÁLCULO!$AB$15:$AL$15,$F116,0,OFFSET(ORÇAMENTO!$D$15,CRONO!$F116,0)))
                +IF(AND($F118&lt;&gt;"",$F118&lt;&gt;0),
                        SUMIF(CÁLCULO!$AM$15:$AW$44,CRONO!W$12,CÁLCULO!$AB$15:$AL$44)/(ORÇAMENTO!$X$15-CÁLCULO.TotalAdmLocal)*CRONO!$F118,
                        0),
                 W117*$S116),
          SUMIF(OFFSET($S118,1,0,$R116-2),($M116+1)&amp;"$",OFFSET(W118,1,0,$R116-2)))</f>
        <v>0</v>
      </c>
      <c r="X118" s="202" cm="1">
        <f t="array" aca="1" ref="X118" ca="1">IF($R116=2,
         IF(AND(ACOMPANHAMENTO="PLE",ISNUMBER($F116)),
                SUMIF((OFFSET(CÁLCULO!$AM$15:$AW$15,$F116,0,OFFSET(ORÇAMENTO!$D$15,CRONO!$F116,0))),CRONO!X$12,OFFSET(CÁLCULO!$AB$15:$AL$15,$F116,0,OFFSET(ORÇAMENTO!$D$15,CRONO!$F116,0)))
                +IF(AND($F118&lt;&gt;"",$F118&lt;&gt;0),
                        SUMIF(CÁLCULO!$AM$15:$AW$44,CRONO!X$12,CÁLCULO!$AB$15:$AL$44)/(ORÇAMENTO!$X$15-CÁLCULO.TotalAdmLocal)*CRONO!$F118,
                        0),
                 X117*$S116),
          SUMIF(OFFSET($S118,1,0,$R116-2),($M116+1)&amp;"$",OFFSET(X118,1,0,$R116-2)))</f>
        <v>0</v>
      </c>
      <c r="Y118" s="202" cm="1">
        <f t="array" aca="1" ref="Y118" ca="1">IF($R116=2,
         IF(AND(ACOMPANHAMENTO="PLE",ISNUMBER($F116)),
                SUMIF((OFFSET(CÁLCULO!$AM$15:$AW$15,$F116,0,OFFSET(ORÇAMENTO!$D$15,CRONO!$F116,0))),CRONO!Y$12,OFFSET(CÁLCULO!$AB$15:$AL$15,$F116,0,OFFSET(ORÇAMENTO!$D$15,CRONO!$F116,0)))
                +IF(AND($F118&lt;&gt;"",$F118&lt;&gt;0),
                        SUMIF(CÁLCULO!$AM$15:$AW$44,CRONO!Y$12,CÁLCULO!$AB$15:$AL$44)/(ORÇAMENTO!$X$15-CÁLCULO.TotalAdmLocal)*CRONO!$F118,
                        0),
                 Y117*$S116),
          SUMIF(OFFSET($S118,1,0,$R116-2),($M116+1)&amp;"$",OFFSET(Y118,1,0,$R116-2)))</f>
        <v>0</v>
      </c>
      <c r="Z118" s="202" cm="1">
        <f t="array" aca="1" ref="Z118" ca="1">IF($R116=2,
         IF(AND(ACOMPANHAMENTO="PLE",ISNUMBER($F116)),
                SUMIF((OFFSET(CÁLCULO!$AM$15:$AW$15,$F116,0,OFFSET(ORÇAMENTO!$D$15,CRONO!$F116,0))),CRONO!Z$12,OFFSET(CÁLCULO!$AB$15:$AL$15,$F116,0,OFFSET(ORÇAMENTO!$D$15,CRONO!$F116,0)))
                +IF(AND($F118&lt;&gt;"",$F118&lt;&gt;0),
                        SUMIF(CÁLCULO!$AM$15:$AW$44,CRONO!Z$12,CÁLCULO!$AB$15:$AL$44)/(ORÇAMENTO!$X$15-CÁLCULO.TotalAdmLocal)*CRONO!$F118,
                        0),
                 Z117*$S116),
          SUMIF(OFFSET($S118,1,0,$R116-2),($M116+1)&amp;"$",OFFSET(Z118,1,0,$R116-2)))</f>
        <v>0</v>
      </c>
      <c r="AA118" s="202" cm="1">
        <f t="array" aca="1" ref="AA118" ca="1">IF($R116=2,
         IF(AND(ACOMPANHAMENTO="PLE",ISNUMBER($F116)),
                SUMIF((OFFSET(CÁLCULO!$AM$15:$AW$15,$F116,0,OFFSET(ORÇAMENTO!$D$15,CRONO!$F116,0))),CRONO!AA$12,OFFSET(CÁLCULO!$AB$15:$AL$15,$F116,0,OFFSET(ORÇAMENTO!$D$15,CRONO!$F116,0)))
                +IF(AND($F118&lt;&gt;"",$F118&lt;&gt;0),
                        SUMIF(CÁLCULO!$AM$15:$AW$44,CRONO!AA$12,CÁLCULO!$AB$15:$AL$44)/(ORÇAMENTO!$X$15-CÁLCULO.TotalAdmLocal)*CRONO!$F118,
                        0),
                 AA117*$S116),
          SUMIF(OFFSET($S118,1,0,$R116-2),($M116+1)&amp;"$",OFFSET(AA118,1,0,$R116-2)))</f>
        <v>0</v>
      </c>
      <c r="AB118" s="202" cm="1">
        <f t="array" aca="1" ref="AB118" ca="1">IF($R116=2,
         IF(AND(ACOMPANHAMENTO="PLE",ISNUMBER($F116)),
                SUMIF((OFFSET(CÁLCULO!$AM$15:$AW$15,$F116,0,OFFSET(ORÇAMENTO!$D$15,CRONO!$F116,0))),CRONO!AB$12,OFFSET(CÁLCULO!$AB$15:$AL$15,$F116,0,OFFSET(ORÇAMENTO!$D$15,CRONO!$F116,0)))
                +IF(AND($F118&lt;&gt;"",$F118&lt;&gt;0),
                        SUMIF(CÁLCULO!$AM$15:$AW$44,CRONO!AB$12,CÁLCULO!$AB$15:$AL$44)/(ORÇAMENTO!$X$15-CÁLCULO.TotalAdmLocal)*CRONO!$F118,
                        0),
                 AB117*$S116),
          SUMIF(OFFSET($S118,1,0,$R116-2),($M116+1)&amp;"$",OFFSET(AB118,1,0,$R116-2)))</f>
        <v>0</v>
      </c>
      <c r="AC118" s="202" cm="1">
        <f t="array" aca="1" ref="AC118" ca="1">IF($R116=2,
         IF(AND(ACOMPANHAMENTO="PLE",ISNUMBER($F116)),
                SUMIF((OFFSET(CÁLCULO!$AM$15:$AW$15,$F116,0,OFFSET(ORÇAMENTO!$D$15,CRONO!$F116,0))),CRONO!AC$12,OFFSET(CÁLCULO!$AB$15:$AL$15,$F116,0,OFFSET(ORÇAMENTO!$D$15,CRONO!$F116,0)))
                +IF(AND($F118&lt;&gt;"",$F118&lt;&gt;0),
                        SUMIF(CÁLCULO!$AM$15:$AW$44,CRONO!AC$12,CÁLCULO!$AB$15:$AL$44)/(ORÇAMENTO!$X$15-CÁLCULO.TotalAdmLocal)*CRONO!$F118,
                        0),
                 AC117*$S116),
          SUMIF(OFFSET($S118,1,0,$R116-2),($M116+1)&amp;"$",OFFSET(AC118,1,0,$R116-2)))</f>
        <v>0</v>
      </c>
      <c r="AD118" s="202" cm="1">
        <f t="array" aca="1" ref="AD118" ca="1">IF($R116=2,
         IF(AND(ACOMPANHAMENTO="PLE",ISNUMBER($F116)),
                SUMIF((OFFSET(CÁLCULO!$AM$15:$AW$15,$F116,0,OFFSET(ORÇAMENTO!$D$15,CRONO!$F116,0))),CRONO!AD$12,OFFSET(CÁLCULO!$AB$15:$AL$15,$F116,0,OFFSET(ORÇAMENTO!$D$15,CRONO!$F116,0)))
                +IF(AND($F118&lt;&gt;"",$F118&lt;&gt;0),
                        SUMIF(CÁLCULO!$AM$15:$AW$44,CRONO!AD$12,CÁLCULO!$AB$15:$AL$44)/(ORÇAMENTO!$X$15-CÁLCULO.TotalAdmLocal)*CRONO!$F118,
                        0),
                 AD117*$S116),
          SUMIF(OFFSET($S118,1,0,$R116-2),($M116+1)&amp;"$",OFFSET(AD118,1,0,$R116-2)))</f>
        <v>0</v>
      </c>
      <c r="AE118" s="202" cm="1">
        <f t="array" aca="1" ref="AE118" ca="1">IF($R116=2,
         IF(AND(ACOMPANHAMENTO="PLE",ISNUMBER($F116)),
                SUMIF((OFFSET(CÁLCULO!$AM$15:$AW$15,$F116,0,OFFSET(ORÇAMENTO!$D$15,CRONO!$F116,0))),CRONO!AE$12,OFFSET(CÁLCULO!$AB$15:$AL$15,$F116,0,OFFSET(ORÇAMENTO!$D$15,CRONO!$F116,0)))
                +IF(AND($F118&lt;&gt;"",$F118&lt;&gt;0),
                        SUMIF(CÁLCULO!$AM$15:$AW$44,CRONO!AE$12,CÁLCULO!$AB$15:$AL$44)/(ORÇAMENTO!$X$15-CÁLCULO.TotalAdmLocal)*CRONO!$F118,
                        0),
                 AE117*$S116),
          SUMIF(OFFSET($S118,1,0,$R116-2),($M116+1)&amp;"$",OFFSET(AE118,1,0,$R116-2)))</f>
        <v>0</v>
      </c>
      <c r="AF118" s="202" cm="1">
        <f t="array" aca="1" ref="AF118" ca="1">IF($R116=2,
         IF(AND(ACOMPANHAMENTO="PLE",ISNUMBER($F116)),
                SUMIF((OFFSET(CÁLCULO!$AM$15:$AW$15,$F116,0,OFFSET(ORÇAMENTO!$D$15,CRONO!$F116,0))),CRONO!AF$12,OFFSET(CÁLCULO!$AB$15:$AL$15,$F116,0,OFFSET(ORÇAMENTO!$D$15,CRONO!$F116,0)))
                +IF(AND($F118&lt;&gt;"",$F118&lt;&gt;0),
                        SUMIF(CÁLCULO!$AM$15:$AW$44,CRONO!AF$12,CÁLCULO!$AB$15:$AL$44)/(ORÇAMENTO!$X$15-CÁLCULO.TotalAdmLocal)*CRONO!$F118,
                        0),
                 AF117*$S116),
          SUMIF(OFFSET($S118,1,0,$R116-2),($M116+1)&amp;"$",OFFSET(AF118,1,0,$R116-2)))</f>
        <v>0</v>
      </c>
      <c r="AG118" s="534"/>
    </row>
    <row r="119" spans="1:33" x14ac:dyDescent="0.2">
      <c r="A119" s="186" t="str">
        <f t="shared" ref="A119" ca="1" si="212">IF($M119&gt;1,_xlfn.CONCAT($I119," ",$J119),"")</f>
        <v/>
      </c>
      <c r="B119" s="185">
        <f t="shared" ref="B119" ca="1" si="213">OFFSET(B119,-3,0)+1</f>
        <v>36</v>
      </c>
      <c r="C119" s="185">
        <f ca="1">IF($R119&lt;&gt;2,0,IF($S119=0,1,IF(F120&gt;0,OFFSET(QCI!$M$13,SUBSTITUTE(F120,".",""),0),OFFSET(ORÇAMENTO!$AA$15,CRONO!$F119,0))/$S119))</f>
        <v>0</v>
      </c>
      <c r="D119" s="185">
        <f ca="1">IF($R119&lt;&gt;2,0,IF($S119=0,1,IF(F120&gt;0,OFFSET(QCI!$N$13,SUBSTITUTE(F120,".",""),0),OFFSET(ORÇAMENTO!$AB$15,CRONO!$F119,0))/$S119))</f>
        <v>0</v>
      </c>
      <c r="E119" s="188" t="e" cm="1">
        <f t="array" aca="1" ref="E119" ca="1">IF(AND($R119=2,ACOMPANHAMENTO="BM"),ROUND(E120,4),E121/$S119)</f>
        <v>#VALUE!</v>
      </c>
      <c r="F119" s="185" t="e" cm="1">
        <f t="array" aca="1" ref="F119" ca="1">IF(B119&lt;=ORÇAMENTO.MáximoListaCrono,MATCH(B119,ORÇAMENTO.ListaCrono,0),NA())</f>
        <v>#N/A</v>
      </c>
      <c r="G119" s="185" t="str">
        <f t="shared" ref="G119" ca="1" si="214">IF(AND($F120&lt;&gt;-1,$S119&gt;0),"F","")</f>
        <v/>
      </c>
      <c r="H119" s="189" t="str" cm="1">
        <f t="array" aca="1" ref="H119" ca="1">IF(OR(S119=0,S119=""),"Linha",IF(AND(OR(ACOMPANHAMENTO="PLE",$R119&lt;&gt;2),$F120=0),"Linha",ROUND(1-SUM(U119:AG119),4)))</f>
        <v>Linha</v>
      </c>
      <c r="I119" s="190" t="str">
        <f ca="1">IF($F120=0,OFFSET(ORÇAMENTO!O$15,$F119,0),IF($F120&lt;&gt;-1,OFFSET(QCI!$D$13,$F120,0),""))</f>
        <v/>
      </c>
      <c r="J119" s="191" t="str">
        <f ca="1">IF($F120=0,OFFSET(ORÇAMENTO!R$15,$F119,0),IF($F120&lt;&gt;-1,OFFSET(QCI!$G$13,$F120,0),""))</f>
        <v/>
      </c>
      <c r="K119" s="191"/>
      <c r="L119" s="191"/>
      <c r="M119" s="192">
        <f ca="1">IF($F120=0,OFFSET(ORÇAMENTO!C$15,$F119,0),1)</f>
        <v>1</v>
      </c>
      <c r="N119" s="193">
        <f ca="1">IF($F120=-1,0,IF(N$13&lt;=$M119,IF(ISERROR(MATCH(N$13,OFFSET($M119,1,0,ROW($M$164)-ROW($M119)-1),0)),ROW($M$164)-ROW($M119)-1,MATCH(N$13,OFFSET($M119,1,0,ROW($M$164)-ROW($M119)-1),0)-1),0))</f>
        <v>0</v>
      </c>
      <c r="O119" s="193">
        <f ca="1">IF($F120=-1,0,IF(O$13&lt;=$M119,IF(ISERROR(MATCH(O$13,OFFSET($M119,1,0,ROW($M$164)-ROW($M119)-1),0)),ROW($M$164)-ROW($M119)-1,MATCH(O$13,OFFSET($M119,1,0,ROW($M$164)-ROW($M119)-1),0)-1),0))</f>
        <v>0</v>
      </c>
      <c r="P119" s="193">
        <f ca="1">IF($F120=-1,0,IF(P$13&lt;=$M119,IF(ISERROR(MATCH(P$13,OFFSET($M119,1,0,ROW($M$164)-ROW($M119)-1),0)),ROW($M$164)-ROW($M119)-1,MATCH(P$13,OFFSET($M119,1,0,ROW($M$164)-ROW($M119)-1),0)-1),0))</f>
        <v>0</v>
      </c>
      <c r="Q119" s="193">
        <f ca="1">IF($F120=-1,0,IF(Q$13&lt;=$M119,IF(ISERROR(MATCH(Q$13,OFFSET($M119,1,0,ROW($M$164)-ROW($M119)-1),0)),ROW($M$164)-ROW($M119)-1,MATCH(Q$13,OFFSET($M119,1,0,ROW($M$164)-ROW($M119)-1),0)-1),0))</f>
        <v>0</v>
      </c>
      <c r="R119" s="193">
        <f t="shared" ref="R119" ca="1" si="215">MIN(OFFSET(M119,0,1,,M119))</f>
        <v>0</v>
      </c>
      <c r="S119" s="194" t="str">
        <f ca="1">IF($F120=0,OFFSET(ORÇAMENTO!X$15,$F119,0),IF($F120&lt;&gt;-1,OFFSET(QCI!$O$13,$F120,0),""))</f>
        <v/>
      </c>
      <c r="T119" s="195" t="s">
        <v>785</v>
      </c>
      <c r="U119" s="188" t="e" cm="1">
        <f t="array" aca="1" ref="U119" ca="1">IF(AND($R119=2,ACOMPANHAMENTO="BM"),ROUND(U120,4),U121/$S119)</f>
        <v>#VALUE!</v>
      </c>
      <c r="V119" s="188" t="e" cm="1">
        <f t="array" aca="1" ref="V119" ca="1">IF(AND($R119=2,ACOMPANHAMENTO="BM"),ROUND(V120,4),V121/$S119)</f>
        <v>#VALUE!</v>
      </c>
      <c r="W119" s="188" t="e" cm="1">
        <f t="array" aca="1" ref="W119" ca="1">IF(AND($R119=2,ACOMPANHAMENTO="BM"),ROUND(W120,4),W121/$S119)</f>
        <v>#VALUE!</v>
      </c>
      <c r="X119" s="188" t="e" cm="1">
        <f t="array" aca="1" ref="X119" ca="1">IF(AND($R119=2,ACOMPANHAMENTO="BM"),ROUND(X120,4),X121/$S119)</f>
        <v>#VALUE!</v>
      </c>
      <c r="Y119" s="188" t="e" cm="1">
        <f t="array" aca="1" ref="Y119" ca="1">IF(AND($R119=2,ACOMPANHAMENTO="BM"),ROUND(Y120,4),Y121/$S119)</f>
        <v>#VALUE!</v>
      </c>
      <c r="Z119" s="188" t="e" cm="1">
        <f t="array" aca="1" ref="Z119" ca="1">IF(AND($R119=2,ACOMPANHAMENTO="BM"),ROUND(Z120,4),Z121/$S119)</f>
        <v>#VALUE!</v>
      </c>
      <c r="AA119" s="188" t="e" cm="1">
        <f t="array" aca="1" ref="AA119" ca="1">IF(AND($R119=2,ACOMPANHAMENTO="BM"),ROUND(AA120,4),AA121/$S119)</f>
        <v>#VALUE!</v>
      </c>
      <c r="AB119" s="188" t="e" cm="1">
        <f t="array" aca="1" ref="AB119" ca="1">IF(AND($R119=2,ACOMPANHAMENTO="BM"),ROUND(AB120,4),AB121/$S119)</f>
        <v>#VALUE!</v>
      </c>
      <c r="AC119" s="188" t="e" cm="1">
        <f t="array" aca="1" ref="AC119" ca="1">IF(AND($R119=2,ACOMPANHAMENTO="BM"),ROUND(AC120,4),AC121/$S119)</f>
        <v>#VALUE!</v>
      </c>
      <c r="AD119" s="188" t="e" cm="1">
        <f t="array" aca="1" ref="AD119" ca="1">IF(AND($R119=2,ACOMPANHAMENTO="BM"),ROUND(AD120,4),AD121/$S119)</f>
        <v>#VALUE!</v>
      </c>
      <c r="AE119" s="188" t="e" cm="1">
        <f t="array" aca="1" ref="AE119" ca="1">IF(AND($R119=2,ACOMPANHAMENTO="BM"),ROUND(AE120,4),AE121/$S119)</f>
        <v>#VALUE!</v>
      </c>
      <c r="AF119" s="188" t="e" cm="1">
        <f t="array" aca="1" ref="AF119" ca="1">IF(AND($R119=2,ACOMPANHAMENTO="BM"),ROUND(AF120,4),AF121/$S119)</f>
        <v>#VALUE!</v>
      </c>
      <c r="AG119" s="534"/>
    </row>
    <row r="120" spans="1:33" ht="12.75" customHeight="1" x14ac:dyDescent="0.2">
      <c r="E120" s="587"/>
      <c r="F120" s="185">
        <f ca="1">IF(ISERROR(F119),IF(1+COUNTIF($M$13:OFFSET(M119,-1,0),1)&lt;=MAX(QCI!$D$13:$D$24),1+COUNTIF($M$13:OFFSET(M119,-1,0),1),-1),0)</f>
        <v>-1</v>
      </c>
      <c r="G120" s="185" t="str" cm="1">
        <f t="array" aca="1" ref="G120" ca="1">IF(ACOMPANHAMENTO="BM",OFFSET(G120,-1,0),"")</f>
        <v/>
      </c>
      <c r="H120" s="196" t="str" cm="1">
        <f t="array" aca="1" ref="H120" ca="1">IF(OR(S119=0,S119=""),"vazia",IF(AND(OR(ACOMPANHAMENTO="PLE",$R119&lt;&gt;2),$F120=0),"calculada","--&gt;"))</f>
        <v>vazia</v>
      </c>
      <c r="I120" s="197"/>
      <c r="J120" s="198" t="str">
        <f t="shared" ref="J120" ca="1" si="216">IF(AND(H119&lt;&gt;0,ISNUMBER(H119)),"PREENCHA ESTA LINHA --&gt;","")</f>
        <v/>
      </c>
      <c r="K120" s="198"/>
      <c r="L120" s="198"/>
      <c r="M120" s="199"/>
      <c r="N120" s="199"/>
      <c r="O120" s="199"/>
      <c r="P120" s="199"/>
      <c r="Q120" s="199"/>
      <c r="R120" s="199"/>
      <c r="S120" s="200"/>
      <c r="T120" s="201"/>
      <c r="U120" s="587"/>
      <c r="V120" s="587"/>
      <c r="W120" s="587"/>
      <c r="X120" s="587"/>
      <c r="Y120" s="587"/>
      <c r="Z120" s="587"/>
      <c r="AA120" s="587"/>
      <c r="AB120" s="587"/>
      <c r="AC120" s="587"/>
      <c r="AD120" s="587"/>
      <c r="AE120" s="587"/>
      <c r="AF120" s="587"/>
      <c r="AG120" s="534"/>
    </row>
    <row r="121" spans="1:33" ht="12.75" customHeight="1" x14ac:dyDescent="0.2">
      <c r="D121" s="533"/>
      <c r="E121" s="202" cm="1">
        <f t="array" aca="1" ref="E121" ca="1">IF($R119=2,
         IF(AND(ACOMPANHAMENTO="PLE",ISNUMBER($F119)),
                SUMIF((OFFSET(CÁLCULO!$AM$15:$AW$15,$F119,0,OFFSET(ORÇAMENTO!$D$15,CRONO!$F119,0))),CRONO!E$12,OFFSET(CÁLCULO!$AB$15:$AL$15,$F119,0,OFFSET(ORÇAMENTO!$D$15,CRONO!$F119,0)))
                +IF(AND($F121&lt;&gt;"",$F121&lt;&gt;0),
                        SUMIF(CÁLCULO!$AM$15:$AW$44,CRONO!E$12,CÁLCULO!$AB$15:$AL$44)/(ORÇAMENTO!$X$15-CÁLCULO.TotalAdmLocal)*CRONO!$F121,
                        0),
                 E120*$S119),
          SUMIF(OFFSET($S121,1,0,$R119-2),($M119+1)&amp;"$",OFFSET(E121,1,0,$R119-2)))</f>
        <v>0</v>
      </c>
      <c r="F121" s="185" t="str">
        <f ca="1">IF(OR($R119&lt;&gt;2,AUTOEVENTO&lt;&gt;"manual",$F120&gt;0),"",
        IF(Import.TipoArredondamento="Tradicional",
              SUMIF(OFFSET(CÁLCULO!$M$15,CRONO!$F119,0,OFFSET(ORÇAMENTO!$D$15,CRONO!$F119,0)),1,OFFSET(ORÇAMENTO!$X$15,CRONO!$F119,0,OFFSET(ORÇAMENTO!$D$15,CRONO!$F119,0))),
              0))</f>
        <v/>
      </c>
      <c r="H121" s="203"/>
      <c r="S121" s="204" t="str">
        <f t="shared" ref="S121" ca="1" si="217">M119&amp;"$"</f>
        <v>1$</v>
      </c>
      <c r="T121" s="205"/>
      <c r="U121" s="202" cm="1">
        <f t="array" aca="1" ref="U121" ca="1">IF($R119=2,
         IF(AND(ACOMPANHAMENTO="PLE",ISNUMBER($F119)),
                SUMIF((OFFSET(CÁLCULO!$AM$15:$AW$15,$F119,0,OFFSET(ORÇAMENTO!$D$15,CRONO!$F119,0))),CRONO!U$12,OFFSET(CÁLCULO!$AB$15:$AL$15,$F119,0,OFFSET(ORÇAMENTO!$D$15,CRONO!$F119,0)))
                +IF(AND($F121&lt;&gt;"",$F121&lt;&gt;0),
                        SUMIF(CÁLCULO!$AM$15:$AW$44,CRONO!U$12,CÁLCULO!$AB$15:$AL$44)/(ORÇAMENTO!$X$15-CÁLCULO.TotalAdmLocal)*CRONO!$F121,
                        0),
                 U120*$S119),
          SUMIF(OFFSET($S121,1,0,$R119-2),($M119+1)&amp;"$",OFFSET(U121,1,0,$R119-2)))</f>
        <v>0</v>
      </c>
      <c r="V121" s="202" cm="1">
        <f t="array" aca="1" ref="V121" ca="1">IF($R119=2,
         IF(AND(ACOMPANHAMENTO="PLE",ISNUMBER($F119)),
                SUMIF((OFFSET(CÁLCULO!$AM$15:$AW$15,$F119,0,OFFSET(ORÇAMENTO!$D$15,CRONO!$F119,0))),CRONO!V$12,OFFSET(CÁLCULO!$AB$15:$AL$15,$F119,0,OFFSET(ORÇAMENTO!$D$15,CRONO!$F119,0)))
                +IF(AND($F121&lt;&gt;"",$F121&lt;&gt;0),
                        SUMIF(CÁLCULO!$AM$15:$AW$44,CRONO!V$12,CÁLCULO!$AB$15:$AL$44)/(ORÇAMENTO!$X$15-CÁLCULO.TotalAdmLocal)*CRONO!$F121,
                        0),
                 V120*$S119),
          SUMIF(OFFSET($S121,1,0,$R119-2),($M119+1)&amp;"$",OFFSET(V121,1,0,$R119-2)))</f>
        <v>0</v>
      </c>
      <c r="W121" s="202" cm="1">
        <f t="array" aca="1" ref="W121" ca="1">IF($R119=2,
         IF(AND(ACOMPANHAMENTO="PLE",ISNUMBER($F119)),
                SUMIF((OFFSET(CÁLCULO!$AM$15:$AW$15,$F119,0,OFFSET(ORÇAMENTO!$D$15,CRONO!$F119,0))),CRONO!W$12,OFFSET(CÁLCULO!$AB$15:$AL$15,$F119,0,OFFSET(ORÇAMENTO!$D$15,CRONO!$F119,0)))
                +IF(AND($F121&lt;&gt;"",$F121&lt;&gt;0),
                        SUMIF(CÁLCULO!$AM$15:$AW$44,CRONO!W$12,CÁLCULO!$AB$15:$AL$44)/(ORÇAMENTO!$X$15-CÁLCULO.TotalAdmLocal)*CRONO!$F121,
                        0),
                 W120*$S119),
          SUMIF(OFFSET($S121,1,0,$R119-2),($M119+1)&amp;"$",OFFSET(W121,1,0,$R119-2)))</f>
        <v>0</v>
      </c>
      <c r="X121" s="202" cm="1">
        <f t="array" aca="1" ref="X121" ca="1">IF($R119=2,
         IF(AND(ACOMPANHAMENTO="PLE",ISNUMBER($F119)),
                SUMIF((OFFSET(CÁLCULO!$AM$15:$AW$15,$F119,0,OFFSET(ORÇAMENTO!$D$15,CRONO!$F119,0))),CRONO!X$12,OFFSET(CÁLCULO!$AB$15:$AL$15,$F119,0,OFFSET(ORÇAMENTO!$D$15,CRONO!$F119,0)))
                +IF(AND($F121&lt;&gt;"",$F121&lt;&gt;0),
                        SUMIF(CÁLCULO!$AM$15:$AW$44,CRONO!X$12,CÁLCULO!$AB$15:$AL$44)/(ORÇAMENTO!$X$15-CÁLCULO.TotalAdmLocal)*CRONO!$F121,
                        0),
                 X120*$S119),
          SUMIF(OFFSET($S121,1,0,$R119-2),($M119+1)&amp;"$",OFFSET(X121,1,0,$R119-2)))</f>
        <v>0</v>
      </c>
      <c r="Y121" s="202" cm="1">
        <f t="array" aca="1" ref="Y121" ca="1">IF($R119=2,
         IF(AND(ACOMPANHAMENTO="PLE",ISNUMBER($F119)),
                SUMIF((OFFSET(CÁLCULO!$AM$15:$AW$15,$F119,0,OFFSET(ORÇAMENTO!$D$15,CRONO!$F119,0))),CRONO!Y$12,OFFSET(CÁLCULO!$AB$15:$AL$15,$F119,0,OFFSET(ORÇAMENTO!$D$15,CRONO!$F119,0)))
                +IF(AND($F121&lt;&gt;"",$F121&lt;&gt;0),
                        SUMIF(CÁLCULO!$AM$15:$AW$44,CRONO!Y$12,CÁLCULO!$AB$15:$AL$44)/(ORÇAMENTO!$X$15-CÁLCULO.TotalAdmLocal)*CRONO!$F121,
                        0),
                 Y120*$S119),
          SUMIF(OFFSET($S121,1,0,$R119-2),($M119+1)&amp;"$",OFFSET(Y121,1,0,$R119-2)))</f>
        <v>0</v>
      </c>
      <c r="Z121" s="202" cm="1">
        <f t="array" aca="1" ref="Z121" ca="1">IF($R119=2,
         IF(AND(ACOMPANHAMENTO="PLE",ISNUMBER($F119)),
                SUMIF((OFFSET(CÁLCULO!$AM$15:$AW$15,$F119,0,OFFSET(ORÇAMENTO!$D$15,CRONO!$F119,0))),CRONO!Z$12,OFFSET(CÁLCULO!$AB$15:$AL$15,$F119,0,OFFSET(ORÇAMENTO!$D$15,CRONO!$F119,0)))
                +IF(AND($F121&lt;&gt;"",$F121&lt;&gt;0),
                        SUMIF(CÁLCULO!$AM$15:$AW$44,CRONO!Z$12,CÁLCULO!$AB$15:$AL$44)/(ORÇAMENTO!$X$15-CÁLCULO.TotalAdmLocal)*CRONO!$F121,
                        0),
                 Z120*$S119),
          SUMIF(OFFSET($S121,1,0,$R119-2),($M119+1)&amp;"$",OFFSET(Z121,1,0,$R119-2)))</f>
        <v>0</v>
      </c>
      <c r="AA121" s="202" cm="1">
        <f t="array" aca="1" ref="AA121" ca="1">IF($R119=2,
         IF(AND(ACOMPANHAMENTO="PLE",ISNUMBER($F119)),
                SUMIF((OFFSET(CÁLCULO!$AM$15:$AW$15,$F119,0,OFFSET(ORÇAMENTO!$D$15,CRONO!$F119,0))),CRONO!AA$12,OFFSET(CÁLCULO!$AB$15:$AL$15,$F119,0,OFFSET(ORÇAMENTO!$D$15,CRONO!$F119,0)))
                +IF(AND($F121&lt;&gt;"",$F121&lt;&gt;0),
                        SUMIF(CÁLCULO!$AM$15:$AW$44,CRONO!AA$12,CÁLCULO!$AB$15:$AL$44)/(ORÇAMENTO!$X$15-CÁLCULO.TotalAdmLocal)*CRONO!$F121,
                        0),
                 AA120*$S119),
          SUMIF(OFFSET($S121,1,0,$R119-2),($M119+1)&amp;"$",OFFSET(AA121,1,0,$R119-2)))</f>
        <v>0</v>
      </c>
      <c r="AB121" s="202" cm="1">
        <f t="array" aca="1" ref="AB121" ca="1">IF($R119=2,
         IF(AND(ACOMPANHAMENTO="PLE",ISNUMBER($F119)),
                SUMIF((OFFSET(CÁLCULO!$AM$15:$AW$15,$F119,0,OFFSET(ORÇAMENTO!$D$15,CRONO!$F119,0))),CRONO!AB$12,OFFSET(CÁLCULO!$AB$15:$AL$15,$F119,0,OFFSET(ORÇAMENTO!$D$15,CRONO!$F119,0)))
                +IF(AND($F121&lt;&gt;"",$F121&lt;&gt;0),
                        SUMIF(CÁLCULO!$AM$15:$AW$44,CRONO!AB$12,CÁLCULO!$AB$15:$AL$44)/(ORÇAMENTO!$X$15-CÁLCULO.TotalAdmLocal)*CRONO!$F121,
                        0),
                 AB120*$S119),
          SUMIF(OFFSET($S121,1,0,$R119-2),($M119+1)&amp;"$",OFFSET(AB121,1,0,$R119-2)))</f>
        <v>0</v>
      </c>
      <c r="AC121" s="202" cm="1">
        <f t="array" aca="1" ref="AC121" ca="1">IF($R119=2,
         IF(AND(ACOMPANHAMENTO="PLE",ISNUMBER($F119)),
                SUMIF((OFFSET(CÁLCULO!$AM$15:$AW$15,$F119,0,OFFSET(ORÇAMENTO!$D$15,CRONO!$F119,0))),CRONO!AC$12,OFFSET(CÁLCULO!$AB$15:$AL$15,$F119,0,OFFSET(ORÇAMENTO!$D$15,CRONO!$F119,0)))
                +IF(AND($F121&lt;&gt;"",$F121&lt;&gt;0),
                        SUMIF(CÁLCULO!$AM$15:$AW$44,CRONO!AC$12,CÁLCULO!$AB$15:$AL$44)/(ORÇAMENTO!$X$15-CÁLCULO.TotalAdmLocal)*CRONO!$F121,
                        0),
                 AC120*$S119),
          SUMIF(OFFSET($S121,1,0,$R119-2),($M119+1)&amp;"$",OFFSET(AC121,1,0,$R119-2)))</f>
        <v>0</v>
      </c>
      <c r="AD121" s="202" cm="1">
        <f t="array" aca="1" ref="AD121" ca="1">IF($R119=2,
         IF(AND(ACOMPANHAMENTO="PLE",ISNUMBER($F119)),
                SUMIF((OFFSET(CÁLCULO!$AM$15:$AW$15,$F119,0,OFFSET(ORÇAMENTO!$D$15,CRONO!$F119,0))),CRONO!AD$12,OFFSET(CÁLCULO!$AB$15:$AL$15,$F119,0,OFFSET(ORÇAMENTO!$D$15,CRONO!$F119,0)))
                +IF(AND($F121&lt;&gt;"",$F121&lt;&gt;0),
                        SUMIF(CÁLCULO!$AM$15:$AW$44,CRONO!AD$12,CÁLCULO!$AB$15:$AL$44)/(ORÇAMENTO!$X$15-CÁLCULO.TotalAdmLocal)*CRONO!$F121,
                        0),
                 AD120*$S119),
          SUMIF(OFFSET($S121,1,0,$R119-2),($M119+1)&amp;"$",OFFSET(AD121,1,0,$R119-2)))</f>
        <v>0</v>
      </c>
      <c r="AE121" s="202" cm="1">
        <f t="array" aca="1" ref="AE121" ca="1">IF($R119=2,
         IF(AND(ACOMPANHAMENTO="PLE",ISNUMBER($F119)),
                SUMIF((OFFSET(CÁLCULO!$AM$15:$AW$15,$F119,0,OFFSET(ORÇAMENTO!$D$15,CRONO!$F119,0))),CRONO!AE$12,OFFSET(CÁLCULO!$AB$15:$AL$15,$F119,0,OFFSET(ORÇAMENTO!$D$15,CRONO!$F119,0)))
                +IF(AND($F121&lt;&gt;"",$F121&lt;&gt;0),
                        SUMIF(CÁLCULO!$AM$15:$AW$44,CRONO!AE$12,CÁLCULO!$AB$15:$AL$44)/(ORÇAMENTO!$X$15-CÁLCULO.TotalAdmLocal)*CRONO!$F121,
                        0),
                 AE120*$S119),
          SUMIF(OFFSET($S121,1,0,$R119-2),($M119+1)&amp;"$",OFFSET(AE121,1,0,$R119-2)))</f>
        <v>0</v>
      </c>
      <c r="AF121" s="202" cm="1">
        <f t="array" aca="1" ref="AF121" ca="1">IF($R119=2,
         IF(AND(ACOMPANHAMENTO="PLE",ISNUMBER($F119)),
                SUMIF((OFFSET(CÁLCULO!$AM$15:$AW$15,$F119,0,OFFSET(ORÇAMENTO!$D$15,CRONO!$F119,0))),CRONO!AF$12,OFFSET(CÁLCULO!$AB$15:$AL$15,$F119,0,OFFSET(ORÇAMENTO!$D$15,CRONO!$F119,0)))
                +IF(AND($F121&lt;&gt;"",$F121&lt;&gt;0),
                        SUMIF(CÁLCULO!$AM$15:$AW$44,CRONO!AF$12,CÁLCULO!$AB$15:$AL$44)/(ORÇAMENTO!$X$15-CÁLCULO.TotalAdmLocal)*CRONO!$F121,
                        0),
                 AF120*$S119),
          SUMIF(OFFSET($S121,1,0,$R119-2),($M119+1)&amp;"$",OFFSET(AF121,1,0,$R119-2)))</f>
        <v>0</v>
      </c>
      <c r="AG121" s="534"/>
    </row>
    <row r="122" spans="1:33" x14ac:dyDescent="0.2">
      <c r="A122" s="186" t="str">
        <f t="shared" ref="A122" ca="1" si="218">IF($M122&gt;1,_xlfn.CONCAT($I122," ",$J122),"")</f>
        <v/>
      </c>
      <c r="B122" s="185">
        <f t="shared" ref="B122" ca="1" si="219">OFFSET(B122,-3,0)+1</f>
        <v>37</v>
      </c>
      <c r="C122" s="185">
        <f ca="1">IF($R122&lt;&gt;2,0,IF($S122=0,1,IF(F123&gt;0,OFFSET(QCI!$M$13,SUBSTITUTE(F123,".",""),0),OFFSET(ORÇAMENTO!$AA$15,CRONO!$F122,0))/$S122))</f>
        <v>0</v>
      </c>
      <c r="D122" s="185">
        <f ca="1">IF($R122&lt;&gt;2,0,IF($S122=0,1,IF(F123&gt;0,OFFSET(QCI!$N$13,SUBSTITUTE(F123,".",""),0),OFFSET(ORÇAMENTO!$AB$15,CRONO!$F122,0))/$S122))</f>
        <v>0</v>
      </c>
      <c r="E122" s="188" t="e" cm="1">
        <f t="array" aca="1" ref="E122" ca="1">IF(AND($R122=2,ACOMPANHAMENTO="BM"),ROUND(E123,4),E124/$S122)</f>
        <v>#VALUE!</v>
      </c>
      <c r="F122" s="185" t="e" cm="1">
        <f t="array" aca="1" ref="F122" ca="1">IF(B122&lt;=ORÇAMENTO.MáximoListaCrono,MATCH(B122,ORÇAMENTO.ListaCrono,0),NA())</f>
        <v>#N/A</v>
      </c>
      <c r="G122" s="185" t="str">
        <f t="shared" ref="G122" ca="1" si="220">IF(AND($F123&lt;&gt;-1,$S122&gt;0),"F","")</f>
        <v/>
      </c>
      <c r="H122" s="189" t="str" cm="1">
        <f t="array" aca="1" ref="H122" ca="1">IF(OR(S122=0,S122=""),"Linha",IF(AND(OR(ACOMPANHAMENTO="PLE",$R122&lt;&gt;2),$F123=0),"Linha",ROUND(1-SUM(U122:AG122),4)))</f>
        <v>Linha</v>
      </c>
      <c r="I122" s="190" t="str">
        <f ca="1">IF($F123=0,OFFSET(ORÇAMENTO!O$15,$F122,0),IF($F123&lt;&gt;-1,OFFSET(QCI!$D$13,$F123,0),""))</f>
        <v/>
      </c>
      <c r="J122" s="191" t="str">
        <f ca="1">IF($F123=0,OFFSET(ORÇAMENTO!R$15,$F122,0),IF($F123&lt;&gt;-1,OFFSET(QCI!$G$13,$F123,0),""))</f>
        <v/>
      </c>
      <c r="K122" s="191"/>
      <c r="L122" s="191"/>
      <c r="M122" s="192">
        <f ca="1">IF($F123=0,OFFSET(ORÇAMENTO!C$15,$F122,0),1)</f>
        <v>1</v>
      </c>
      <c r="N122" s="193">
        <f ca="1">IF($F123=-1,0,IF(N$13&lt;=$M122,IF(ISERROR(MATCH(N$13,OFFSET($M122,1,0,ROW($M$164)-ROW($M122)-1),0)),ROW($M$164)-ROW($M122)-1,MATCH(N$13,OFFSET($M122,1,0,ROW($M$164)-ROW($M122)-1),0)-1),0))</f>
        <v>0</v>
      </c>
      <c r="O122" s="193">
        <f ca="1">IF($F123=-1,0,IF(O$13&lt;=$M122,IF(ISERROR(MATCH(O$13,OFFSET($M122,1,0,ROW($M$164)-ROW($M122)-1),0)),ROW($M$164)-ROW($M122)-1,MATCH(O$13,OFFSET($M122,1,0,ROW($M$164)-ROW($M122)-1),0)-1),0))</f>
        <v>0</v>
      </c>
      <c r="P122" s="193">
        <f ca="1">IF($F123=-1,0,IF(P$13&lt;=$M122,IF(ISERROR(MATCH(P$13,OFFSET($M122,1,0,ROW($M$164)-ROW($M122)-1),0)),ROW($M$164)-ROW($M122)-1,MATCH(P$13,OFFSET($M122,1,0,ROW($M$164)-ROW($M122)-1),0)-1),0))</f>
        <v>0</v>
      </c>
      <c r="Q122" s="193">
        <f ca="1">IF($F123=-1,0,IF(Q$13&lt;=$M122,IF(ISERROR(MATCH(Q$13,OFFSET($M122,1,0,ROW($M$164)-ROW($M122)-1),0)),ROW($M$164)-ROW($M122)-1,MATCH(Q$13,OFFSET($M122,1,0,ROW($M$164)-ROW($M122)-1),0)-1),0))</f>
        <v>0</v>
      </c>
      <c r="R122" s="193">
        <f t="shared" ref="R122" ca="1" si="221">MIN(OFFSET(M122,0,1,,M122))</f>
        <v>0</v>
      </c>
      <c r="S122" s="194" t="str">
        <f ca="1">IF($F123=0,OFFSET(ORÇAMENTO!X$15,$F122,0),IF($F123&lt;&gt;-1,OFFSET(QCI!$O$13,$F123,0),""))</f>
        <v/>
      </c>
      <c r="T122" s="195" t="s">
        <v>785</v>
      </c>
      <c r="U122" s="188" t="e" cm="1">
        <f t="array" aca="1" ref="U122" ca="1">IF(AND($R122=2,ACOMPANHAMENTO="BM"),ROUND(U123,4),U124/$S122)</f>
        <v>#VALUE!</v>
      </c>
      <c r="V122" s="188" t="e" cm="1">
        <f t="array" aca="1" ref="V122" ca="1">IF(AND($R122=2,ACOMPANHAMENTO="BM"),ROUND(V123,4),V124/$S122)</f>
        <v>#VALUE!</v>
      </c>
      <c r="W122" s="188" t="e" cm="1">
        <f t="array" aca="1" ref="W122" ca="1">IF(AND($R122=2,ACOMPANHAMENTO="BM"),ROUND(W123,4),W124/$S122)</f>
        <v>#VALUE!</v>
      </c>
      <c r="X122" s="188" t="e" cm="1">
        <f t="array" aca="1" ref="X122" ca="1">IF(AND($R122=2,ACOMPANHAMENTO="BM"),ROUND(X123,4),X124/$S122)</f>
        <v>#VALUE!</v>
      </c>
      <c r="Y122" s="188" t="e" cm="1">
        <f t="array" aca="1" ref="Y122" ca="1">IF(AND($R122=2,ACOMPANHAMENTO="BM"),ROUND(Y123,4),Y124/$S122)</f>
        <v>#VALUE!</v>
      </c>
      <c r="Z122" s="188" t="e" cm="1">
        <f t="array" aca="1" ref="Z122" ca="1">IF(AND($R122=2,ACOMPANHAMENTO="BM"),ROUND(Z123,4),Z124/$S122)</f>
        <v>#VALUE!</v>
      </c>
      <c r="AA122" s="188" t="e" cm="1">
        <f t="array" aca="1" ref="AA122" ca="1">IF(AND($R122=2,ACOMPANHAMENTO="BM"),ROUND(AA123,4),AA124/$S122)</f>
        <v>#VALUE!</v>
      </c>
      <c r="AB122" s="188" t="e" cm="1">
        <f t="array" aca="1" ref="AB122" ca="1">IF(AND($R122=2,ACOMPANHAMENTO="BM"),ROUND(AB123,4),AB124/$S122)</f>
        <v>#VALUE!</v>
      </c>
      <c r="AC122" s="188" t="e" cm="1">
        <f t="array" aca="1" ref="AC122" ca="1">IF(AND($R122=2,ACOMPANHAMENTO="BM"),ROUND(AC123,4),AC124/$S122)</f>
        <v>#VALUE!</v>
      </c>
      <c r="AD122" s="188" t="e" cm="1">
        <f t="array" aca="1" ref="AD122" ca="1">IF(AND($R122=2,ACOMPANHAMENTO="BM"),ROUND(AD123,4),AD124/$S122)</f>
        <v>#VALUE!</v>
      </c>
      <c r="AE122" s="188" t="e" cm="1">
        <f t="array" aca="1" ref="AE122" ca="1">IF(AND($R122=2,ACOMPANHAMENTO="BM"),ROUND(AE123,4),AE124/$S122)</f>
        <v>#VALUE!</v>
      </c>
      <c r="AF122" s="188" t="e" cm="1">
        <f t="array" aca="1" ref="AF122" ca="1">IF(AND($R122=2,ACOMPANHAMENTO="BM"),ROUND(AF123,4),AF124/$S122)</f>
        <v>#VALUE!</v>
      </c>
      <c r="AG122" s="534"/>
    </row>
    <row r="123" spans="1:33" ht="12.75" customHeight="1" x14ac:dyDescent="0.2">
      <c r="E123" s="587"/>
      <c r="F123" s="185">
        <f ca="1">IF(ISERROR(F122),IF(1+COUNTIF($M$13:OFFSET(M122,-1,0),1)&lt;=MAX(QCI!$D$13:$D$24),1+COUNTIF($M$13:OFFSET(M122,-1,0),1),-1),0)</f>
        <v>-1</v>
      </c>
      <c r="G123" s="185" t="str" cm="1">
        <f t="array" aca="1" ref="G123" ca="1">IF(ACOMPANHAMENTO="BM",OFFSET(G123,-1,0),"")</f>
        <v/>
      </c>
      <c r="H123" s="196" t="str" cm="1">
        <f t="array" aca="1" ref="H123" ca="1">IF(OR(S122=0,S122=""),"vazia",IF(AND(OR(ACOMPANHAMENTO="PLE",$R122&lt;&gt;2),$F123=0),"calculada","--&gt;"))</f>
        <v>vazia</v>
      </c>
      <c r="I123" s="197"/>
      <c r="J123" s="198" t="str">
        <f t="shared" ref="J123" ca="1" si="222">IF(AND(H122&lt;&gt;0,ISNUMBER(H122)),"PREENCHA ESTA LINHA --&gt;","")</f>
        <v/>
      </c>
      <c r="K123" s="198"/>
      <c r="L123" s="198"/>
      <c r="M123" s="199"/>
      <c r="N123" s="199"/>
      <c r="O123" s="199"/>
      <c r="P123" s="199"/>
      <c r="Q123" s="199"/>
      <c r="R123" s="199"/>
      <c r="S123" s="200"/>
      <c r="T123" s="201"/>
      <c r="U123" s="587"/>
      <c r="V123" s="587"/>
      <c r="W123" s="587"/>
      <c r="X123" s="587"/>
      <c r="Y123" s="587"/>
      <c r="Z123" s="587"/>
      <c r="AA123" s="587"/>
      <c r="AB123" s="587"/>
      <c r="AC123" s="587"/>
      <c r="AD123" s="587"/>
      <c r="AE123" s="587"/>
      <c r="AF123" s="587"/>
      <c r="AG123" s="534"/>
    </row>
    <row r="124" spans="1:33" ht="12.75" customHeight="1" x14ac:dyDescent="0.2">
      <c r="D124" s="533"/>
      <c r="E124" s="202" cm="1">
        <f t="array" aca="1" ref="E124" ca="1">IF($R122=2,
         IF(AND(ACOMPANHAMENTO="PLE",ISNUMBER($F122)),
                SUMIF((OFFSET(CÁLCULO!$AM$15:$AW$15,$F122,0,OFFSET(ORÇAMENTO!$D$15,CRONO!$F122,0))),CRONO!E$12,OFFSET(CÁLCULO!$AB$15:$AL$15,$F122,0,OFFSET(ORÇAMENTO!$D$15,CRONO!$F122,0)))
                +IF(AND($F124&lt;&gt;"",$F124&lt;&gt;0),
                        SUMIF(CÁLCULO!$AM$15:$AW$44,CRONO!E$12,CÁLCULO!$AB$15:$AL$44)/(ORÇAMENTO!$X$15-CÁLCULO.TotalAdmLocal)*CRONO!$F124,
                        0),
                 E123*$S122),
          SUMIF(OFFSET($S124,1,0,$R122-2),($M122+1)&amp;"$",OFFSET(E124,1,0,$R122-2)))</f>
        <v>0</v>
      </c>
      <c r="F124" s="185" t="str">
        <f ca="1">IF(OR($R122&lt;&gt;2,AUTOEVENTO&lt;&gt;"manual",$F123&gt;0),"",
        IF(Import.TipoArredondamento="Tradicional",
              SUMIF(OFFSET(CÁLCULO!$M$15,CRONO!$F122,0,OFFSET(ORÇAMENTO!$D$15,CRONO!$F122,0)),1,OFFSET(ORÇAMENTO!$X$15,CRONO!$F122,0,OFFSET(ORÇAMENTO!$D$15,CRONO!$F122,0))),
              0))</f>
        <v/>
      </c>
      <c r="H124" s="203"/>
      <c r="S124" s="204" t="str">
        <f t="shared" ref="S124" ca="1" si="223">M122&amp;"$"</f>
        <v>1$</v>
      </c>
      <c r="T124" s="205"/>
      <c r="U124" s="202" cm="1">
        <f t="array" aca="1" ref="U124" ca="1">IF($R122=2,
         IF(AND(ACOMPANHAMENTO="PLE",ISNUMBER($F122)),
                SUMIF((OFFSET(CÁLCULO!$AM$15:$AW$15,$F122,0,OFFSET(ORÇAMENTO!$D$15,CRONO!$F122,0))),CRONO!U$12,OFFSET(CÁLCULO!$AB$15:$AL$15,$F122,0,OFFSET(ORÇAMENTO!$D$15,CRONO!$F122,0)))
                +IF(AND($F124&lt;&gt;"",$F124&lt;&gt;0),
                        SUMIF(CÁLCULO!$AM$15:$AW$44,CRONO!U$12,CÁLCULO!$AB$15:$AL$44)/(ORÇAMENTO!$X$15-CÁLCULO.TotalAdmLocal)*CRONO!$F124,
                        0),
                 U123*$S122),
          SUMIF(OFFSET($S124,1,0,$R122-2),($M122+1)&amp;"$",OFFSET(U124,1,0,$R122-2)))</f>
        <v>0</v>
      </c>
      <c r="V124" s="202" cm="1">
        <f t="array" aca="1" ref="V124" ca="1">IF($R122=2,
         IF(AND(ACOMPANHAMENTO="PLE",ISNUMBER($F122)),
                SUMIF((OFFSET(CÁLCULO!$AM$15:$AW$15,$F122,0,OFFSET(ORÇAMENTO!$D$15,CRONO!$F122,0))),CRONO!V$12,OFFSET(CÁLCULO!$AB$15:$AL$15,$F122,0,OFFSET(ORÇAMENTO!$D$15,CRONO!$F122,0)))
                +IF(AND($F124&lt;&gt;"",$F124&lt;&gt;0),
                        SUMIF(CÁLCULO!$AM$15:$AW$44,CRONO!V$12,CÁLCULO!$AB$15:$AL$44)/(ORÇAMENTO!$X$15-CÁLCULO.TotalAdmLocal)*CRONO!$F124,
                        0),
                 V123*$S122),
          SUMIF(OFFSET($S124,1,0,$R122-2),($M122+1)&amp;"$",OFFSET(V124,1,0,$R122-2)))</f>
        <v>0</v>
      </c>
      <c r="W124" s="202" cm="1">
        <f t="array" aca="1" ref="W124" ca="1">IF($R122=2,
         IF(AND(ACOMPANHAMENTO="PLE",ISNUMBER($F122)),
                SUMIF((OFFSET(CÁLCULO!$AM$15:$AW$15,$F122,0,OFFSET(ORÇAMENTO!$D$15,CRONO!$F122,0))),CRONO!W$12,OFFSET(CÁLCULO!$AB$15:$AL$15,$F122,0,OFFSET(ORÇAMENTO!$D$15,CRONO!$F122,0)))
                +IF(AND($F124&lt;&gt;"",$F124&lt;&gt;0),
                        SUMIF(CÁLCULO!$AM$15:$AW$44,CRONO!W$12,CÁLCULO!$AB$15:$AL$44)/(ORÇAMENTO!$X$15-CÁLCULO.TotalAdmLocal)*CRONO!$F124,
                        0),
                 W123*$S122),
          SUMIF(OFFSET($S124,1,0,$R122-2),($M122+1)&amp;"$",OFFSET(W124,1,0,$R122-2)))</f>
        <v>0</v>
      </c>
      <c r="X124" s="202" cm="1">
        <f t="array" aca="1" ref="X124" ca="1">IF($R122=2,
         IF(AND(ACOMPANHAMENTO="PLE",ISNUMBER($F122)),
                SUMIF((OFFSET(CÁLCULO!$AM$15:$AW$15,$F122,0,OFFSET(ORÇAMENTO!$D$15,CRONO!$F122,0))),CRONO!X$12,OFFSET(CÁLCULO!$AB$15:$AL$15,$F122,0,OFFSET(ORÇAMENTO!$D$15,CRONO!$F122,0)))
                +IF(AND($F124&lt;&gt;"",$F124&lt;&gt;0),
                        SUMIF(CÁLCULO!$AM$15:$AW$44,CRONO!X$12,CÁLCULO!$AB$15:$AL$44)/(ORÇAMENTO!$X$15-CÁLCULO.TotalAdmLocal)*CRONO!$F124,
                        0),
                 X123*$S122),
          SUMIF(OFFSET($S124,1,0,$R122-2),($M122+1)&amp;"$",OFFSET(X124,1,0,$R122-2)))</f>
        <v>0</v>
      </c>
      <c r="Y124" s="202" cm="1">
        <f t="array" aca="1" ref="Y124" ca="1">IF($R122=2,
         IF(AND(ACOMPANHAMENTO="PLE",ISNUMBER($F122)),
                SUMIF((OFFSET(CÁLCULO!$AM$15:$AW$15,$F122,0,OFFSET(ORÇAMENTO!$D$15,CRONO!$F122,0))),CRONO!Y$12,OFFSET(CÁLCULO!$AB$15:$AL$15,$F122,0,OFFSET(ORÇAMENTO!$D$15,CRONO!$F122,0)))
                +IF(AND($F124&lt;&gt;"",$F124&lt;&gt;0),
                        SUMIF(CÁLCULO!$AM$15:$AW$44,CRONO!Y$12,CÁLCULO!$AB$15:$AL$44)/(ORÇAMENTO!$X$15-CÁLCULO.TotalAdmLocal)*CRONO!$F124,
                        0),
                 Y123*$S122),
          SUMIF(OFFSET($S124,1,0,$R122-2),($M122+1)&amp;"$",OFFSET(Y124,1,0,$R122-2)))</f>
        <v>0</v>
      </c>
      <c r="Z124" s="202" cm="1">
        <f t="array" aca="1" ref="Z124" ca="1">IF($R122=2,
         IF(AND(ACOMPANHAMENTO="PLE",ISNUMBER($F122)),
                SUMIF((OFFSET(CÁLCULO!$AM$15:$AW$15,$F122,0,OFFSET(ORÇAMENTO!$D$15,CRONO!$F122,0))),CRONO!Z$12,OFFSET(CÁLCULO!$AB$15:$AL$15,$F122,0,OFFSET(ORÇAMENTO!$D$15,CRONO!$F122,0)))
                +IF(AND($F124&lt;&gt;"",$F124&lt;&gt;0),
                        SUMIF(CÁLCULO!$AM$15:$AW$44,CRONO!Z$12,CÁLCULO!$AB$15:$AL$44)/(ORÇAMENTO!$X$15-CÁLCULO.TotalAdmLocal)*CRONO!$F124,
                        0),
                 Z123*$S122),
          SUMIF(OFFSET($S124,1,0,$R122-2),($M122+1)&amp;"$",OFFSET(Z124,1,0,$R122-2)))</f>
        <v>0</v>
      </c>
      <c r="AA124" s="202" cm="1">
        <f t="array" aca="1" ref="AA124" ca="1">IF($R122=2,
         IF(AND(ACOMPANHAMENTO="PLE",ISNUMBER($F122)),
                SUMIF((OFFSET(CÁLCULO!$AM$15:$AW$15,$F122,0,OFFSET(ORÇAMENTO!$D$15,CRONO!$F122,0))),CRONO!AA$12,OFFSET(CÁLCULO!$AB$15:$AL$15,$F122,0,OFFSET(ORÇAMENTO!$D$15,CRONO!$F122,0)))
                +IF(AND($F124&lt;&gt;"",$F124&lt;&gt;0),
                        SUMIF(CÁLCULO!$AM$15:$AW$44,CRONO!AA$12,CÁLCULO!$AB$15:$AL$44)/(ORÇAMENTO!$X$15-CÁLCULO.TotalAdmLocal)*CRONO!$F124,
                        0),
                 AA123*$S122),
          SUMIF(OFFSET($S124,1,0,$R122-2),($M122+1)&amp;"$",OFFSET(AA124,1,0,$R122-2)))</f>
        <v>0</v>
      </c>
      <c r="AB124" s="202" cm="1">
        <f t="array" aca="1" ref="AB124" ca="1">IF($R122=2,
         IF(AND(ACOMPANHAMENTO="PLE",ISNUMBER($F122)),
                SUMIF((OFFSET(CÁLCULO!$AM$15:$AW$15,$F122,0,OFFSET(ORÇAMENTO!$D$15,CRONO!$F122,0))),CRONO!AB$12,OFFSET(CÁLCULO!$AB$15:$AL$15,$F122,0,OFFSET(ORÇAMENTO!$D$15,CRONO!$F122,0)))
                +IF(AND($F124&lt;&gt;"",$F124&lt;&gt;0),
                        SUMIF(CÁLCULO!$AM$15:$AW$44,CRONO!AB$12,CÁLCULO!$AB$15:$AL$44)/(ORÇAMENTO!$X$15-CÁLCULO.TotalAdmLocal)*CRONO!$F124,
                        0),
                 AB123*$S122),
          SUMIF(OFFSET($S124,1,0,$R122-2),($M122+1)&amp;"$",OFFSET(AB124,1,0,$R122-2)))</f>
        <v>0</v>
      </c>
      <c r="AC124" s="202" cm="1">
        <f t="array" aca="1" ref="AC124" ca="1">IF($R122=2,
         IF(AND(ACOMPANHAMENTO="PLE",ISNUMBER($F122)),
                SUMIF((OFFSET(CÁLCULO!$AM$15:$AW$15,$F122,0,OFFSET(ORÇAMENTO!$D$15,CRONO!$F122,0))),CRONO!AC$12,OFFSET(CÁLCULO!$AB$15:$AL$15,$F122,0,OFFSET(ORÇAMENTO!$D$15,CRONO!$F122,0)))
                +IF(AND($F124&lt;&gt;"",$F124&lt;&gt;0),
                        SUMIF(CÁLCULO!$AM$15:$AW$44,CRONO!AC$12,CÁLCULO!$AB$15:$AL$44)/(ORÇAMENTO!$X$15-CÁLCULO.TotalAdmLocal)*CRONO!$F124,
                        0),
                 AC123*$S122),
          SUMIF(OFFSET($S124,1,0,$R122-2),($M122+1)&amp;"$",OFFSET(AC124,1,0,$R122-2)))</f>
        <v>0</v>
      </c>
      <c r="AD124" s="202" cm="1">
        <f t="array" aca="1" ref="AD124" ca="1">IF($R122=2,
         IF(AND(ACOMPANHAMENTO="PLE",ISNUMBER($F122)),
                SUMIF((OFFSET(CÁLCULO!$AM$15:$AW$15,$F122,0,OFFSET(ORÇAMENTO!$D$15,CRONO!$F122,0))),CRONO!AD$12,OFFSET(CÁLCULO!$AB$15:$AL$15,$F122,0,OFFSET(ORÇAMENTO!$D$15,CRONO!$F122,0)))
                +IF(AND($F124&lt;&gt;"",$F124&lt;&gt;0),
                        SUMIF(CÁLCULO!$AM$15:$AW$44,CRONO!AD$12,CÁLCULO!$AB$15:$AL$44)/(ORÇAMENTO!$X$15-CÁLCULO.TotalAdmLocal)*CRONO!$F124,
                        0),
                 AD123*$S122),
          SUMIF(OFFSET($S124,1,0,$R122-2),($M122+1)&amp;"$",OFFSET(AD124,1,0,$R122-2)))</f>
        <v>0</v>
      </c>
      <c r="AE124" s="202" cm="1">
        <f t="array" aca="1" ref="AE124" ca="1">IF($R122=2,
         IF(AND(ACOMPANHAMENTO="PLE",ISNUMBER($F122)),
                SUMIF((OFFSET(CÁLCULO!$AM$15:$AW$15,$F122,0,OFFSET(ORÇAMENTO!$D$15,CRONO!$F122,0))),CRONO!AE$12,OFFSET(CÁLCULO!$AB$15:$AL$15,$F122,0,OFFSET(ORÇAMENTO!$D$15,CRONO!$F122,0)))
                +IF(AND($F124&lt;&gt;"",$F124&lt;&gt;0),
                        SUMIF(CÁLCULO!$AM$15:$AW$44,CRONO!AE$12,CÁLCULO!$AB$15:$AL$44)/(ORÇAMENTO!$X$15-CÁLCULO.TotalAdmLocal)*CRONO!$F124,
                        0),
                 AE123*$S122),
          SUMIF(OFFSET($S124,1,0,$R122-2),($M122+1)&amp;"$",OFFSET(AE124,1,0,$R122-2)))</f>
        <v>0</v>
      </c>
      <c r="AF124" s="202" cm="1">
        <f t="array" aca="1" ref="AF124" ca="1">IF($R122=2,
         IF(AND(ACOMPANHAMENTO="PLE",ISNUMBER($F122)),
                SUMIF((OFFSET(CÁLCULO!$AM$15:$AW$15,$F122,0,OFFSET(ORÇAMENTO!$D$15,CRONO!$F122,0))),CRONO!AF$12,OFFSET(CÁLCULO!$AB$15:$AL$15,$F122,0,OFFSET(ORÇAMENTO!$D$15,CRONO!$F122,0)))
                +IF(AND($F124&lt;&gt;"",$F124&lt;&gt;0),
                        SUMIF(CÁLCULO!$AM$15:$AW$44,CRONO!AF$12,CÁLCULO!$AB$15:$AL$44)/(ORÇAMENTO!$X$15-CÁLCULO.TotalAdmLocal)*CRONO!$F124,
                        0),
                 AF123*$S122),
          SUMIF(OFFSET($S124,1,0,$R122-2),($M122+1)&amp;"$",OFFSET(AF124,1,0,$R122-2)))</f>
        <v>0</v>
      </c>
      <c r="AG124" s="534"/>
    </row>
    <row r="125" spans="1:33" x14ac:dyDescent="0.2">
      <c r="A125" s="186" t="str">
        <f t="shared" ref="A125" ca="1" si="224">IF($M125&gt;1,_xlfn.CONCAT($I125," ",$J125),"")</f>
        <v/>
      </c>
      <c r="B125" s="185">
        <f t="shared" ref="B125" ca="1" si="225">OFFSET(B125,-3,0)+1</f>
        <v>38</v>
      </c>
      <c r="C125" s="185">
        <f ca="1">IF($R125&lt;&gt;2,0,IF($S125=0,1,IF(F126&gt;0,OFFSET(QCI!$M$13,SUBSTITUTE(F126,".",""),0),OFFSET(ORÇAMENTO!$AA$15,CRONO!$F125,0))/$S125))</f>
        <v>0</v>
      </c>
      <c r="D125" s="185">
        <f ca="1">IF($R125&lt;&gt;2,0,IF($S125=0,1,IF(F126&gt;0,OFFSET(QCI!$N$13,SUBSTITUTE(F126,".",""),0),OFFSET(ORÇAMENTO!$AB$15,CRONO!$F125,0))/$S125))</f>
        <v>0</v>
      </c>
      <c r="E125" s="188" t="e" cm="1">
        <f t="array" aca="1" ref="E125" ca="1">IF(AND($R125=2,ACOMPANHAMENTO="BM"),ROUND(E126,4),E127/$S125)</f>
        <v>#VALUE!</v>
      </c>
      <c r="F125" s="185" t="e" cm="1">
        <f t="array" aca="1" ref="F125" ca="1">IF(B125&lt;=ORÇAMENTO.MáximoListaCrono,MATCH(B125,ORÇAMENTO.ListaCrono,0),NA())</f>
        <v>#N/A</v>
      </c>
      <c r="G125" s="185" t="str">
        <f t="shared" ref="G125" ca="1" si="226">IF(AND($F126&lt;&gt;-1,$S125&gt;0),"F","")</f>
        <v/>
      </c>
      <c r="H125" s="189" t="str" cm="1">
        <f t="array" aca="1" ref="H125" ca="1">IF(OR(S125=0,S125=""),"Linha",IF(AND(OR(ACOMPANHAMENTO="PLE",$R125&lt;&gt;2),$F126=0),"Linha",ROUND(1-SUM(U125:AG125),4)))</f>
        <v>Linha</v>
      </c>
      <c r="I125" s="190" t="str">
        <f ca="1">IF($F126=0,OFFSET(ORÇAMENTO!O$15,$F125,0),IF($F126&lt;&gt;-1,OFFSET(QCI!$D$13,$F126,0),""))</f>
        <v/>
      </c>
      <c r="J125" s="191" t="str">
        <f ca="1">IF($F126=0,OFFSET(ORÇAMENTO!R$15,$F125,0),IF($F126&lt;&gt;-1,OFFSET(QCI!$G$13,$F126,0),""))</f>
        <v/>
      </c>
      <c r="K125" s="191"/>
      <c r="L125" s="191"/>
      <c r="M125" s="192">
        <f ca="1">IF($F126=0,OFFSET(ORÇAMENTO!C$15,$F125,0),1)</f>
        <v>1</v>
      </c>
      <c r="N125" s="193">
        <f ca="1">IF($F126=-1,0,IF(N$13&lt;=$M125,IF(ISERROR(MATCH(N$13,OFFSET($M125,1,0,ROW($M$164)-ROW($M125)-1),0)),ROW($M$164)-ROW($M125)-1,MATCH(N$13,OFFSET($M125,1,0,ROW($M$164)-ROW($M125)-1),0)-1),0))</f>
        <v>0</v>
      </c>
      <c r="O125" s="193">
        <f ca="1">IF($F126=-1,0,IF(O$13&lt;=$M125,IF(ISERROR(MATCH(O$13,OFFSET($M125,1,0,ROW($M$164)-ROW($M125)-1),0)),ROW($M$164)-ROW($M125)-1,MATCH(O$13,OFFSET($M125,1,0,ROW($M$164)-ROW($M125)-1),0)-1),0))</f>
        <v>0</v>
      </c>
      <c r="P125" s="193">
        <f ca="1">IF($F126=-1,0,IF(P$13&lt;=$M125,IF(ISERROR(MATCH(P$13,OFFSET($M125,1,0,ROW($M$164)-ROW($M125)-1),0)),ROW($M$164)-ROW($M125)-1,MATCH(P$13,OFFSET($M125,1,0,ROW($M$164)-ROW($M125)-1),0)-1),0))</f>
        <v>0</v>
      </c>
      <c r="Q125" s="193">
        <f ca="1">IF($F126=-1,0,IF(Q$13&lt;=$M125,IF(ISERROR(MATCH(Q$13,OFFSET($M125,1,0,ROW($M$164)-ROW($M125)-1),0)),ROW($M$164)-ROW($M125)-1,MATCH(Q$13,OFFSET($M125,1,0,ROW($M$164)-ROW($M125)-1),0)-1),0))</f>
        <v>0</v>
      </c>
      <c r="R125" s="193">
        <f t="shared" ref="R125" ca="1" si="227">MIN(OFFSET(M125,0,1,,M125))</f>
        <v>0</v>
      </c>
      <c r="S125" s="194" t="str">
        <f ca="1">IF($F126=0,OFFSET(ORÇAMENTO!X$15,$F125,0),IF($F126&lt;&gt;-1,OFFSET(QCI!$O$13,$F126,0),""))</f>
        <v/>
      </c>
      <c r="T125" s="195" t="s">
        <v>785</v>
      </c>
      <c r="U125" s="188" t="e" cm="1">
        <f t="array" aca="1" ref="U125" ca="1">IF(AND($R125=2,ACOMPANHAMENTO="BM"),ROUND(U126,4),U127/$S125)</f>
        <v>#VALUE!</v>
      </c>
      <c r="V125" s="188" t="e" cm="1">
        <f t="array" aca="1" ref="V125" ca="1">IF(AND($R125=2,ACOMPANHAMENTO="BM"),ROUND(V126,4),V127/$S125)</f>
        <v>#VALUE!</v>
      </c>
      <c r="W125" s="188" t="e" cm="1">
        <f t="array" aca="1" ref="W125" ca="1">IF(AND($R125=2,ACOMPANHAMENTO="BM"),ROUND(W126,4),W127/$S125)</f>
        <v>#VALUE!</v>
      </c>
      <c r="X125" s="188" t="e" cm="1">
        <f t="array" aca="1" ref="X125" ca="1">IF(AND($R125=2,ACOMPANHAMENTO="BM"),ROUND(X126,4),X127/$S125)</f>
        <v>#VALUE!</v>
      </c>
      <c r="Y125" s="188" t="e" cm="1">
        <f t="array" aca="1" ref="Y125" ca="1">IF(AND($R125=2,ACOMPANHAMENTO="BM"),ROUND(Y126,4),Y127/$S125)</f>
        <v>#VALUE!</v>
      </c>
      <c r="Z125" s="188" t="e" cm="1">
        <f t="array" aca="1" ref="Z125" ca="1">IF(AND($R125=2,ACOMPANHAMENTO="BM"),ROUND(Z126,4),Z127/$S125)</f>
        <v>#VALUE!</v>
      </c>
      <c r="AA125" s="188" t="e" cm="1">
        <f t="array" aca="1" ref="AA125" ca="1">IF(AND($R125=2,ACOMPANHAMENTO="BM"),ROUND(AA126,4),AA127/$S125)</f>
        <v>#VALUE!</v>
      </c>
      <c r="AB125" s="188" t="e" cm="1">
        <f t="array" aca="1" ref="AB125" ca="1">IF(AND($R125=2,ACOMPANHAMENTO="BM"),ROUND(AB126,4),AB127/$S125)</f>
        <v>#VALUE!</v>
      </c>
      <c r="AC125" s="188" t="e" cm="1">
        <f t="array" aca="1" ref="AC125" ca="1">IF(AND($R125=2,ACOMPANHAMENTO="BM"),ROUND(AC126,4),AC127/$S125)</f>
        <v>#VALUE!</v>
      </c>
      <c r="AD125" s="188" t="e" cm="1">
        <f t="array" aca="1" ref="AD125" ca="1">IF(AND($R125=2,ACOMPANHAMENTO="BM"),ROUND(AD126,4),AD127/$S125)</f>
        <v>#VALUE!</v>
      </c>
      <c r="AE125" s="188" t="e" cm="1">
        <f t="array" aca="1" ref="AE125" ca="1">IF(AND($R125=2,ACOMPANHAMENTO="BM"),ROUND(AE126,4),AE127/$S125)</f>
        <v>#VALUE!</v>
      </c>
      <c r="AF125" s="188" t="e" cm="1">
        <f t="array" aca="1" ref="AF125" ca="1">IF(AND($R125=2,ACOMPANHAMENTO="BM"),ROUND(AF126,4),AF127/$S125)</f>
        <v>#VALUE!</v>
      </c>
      <c r="AG125" s="534"/>
    </row>
    <row r="126" spans="1:33" ht="12.75" customHeight="1" x14ac:dyDescent="0.2">
      <c r="E126" s="587"/>
      <c r="F126" s="185">
        <f ca="1">IF(ISERROR(F125),IF(1+COUNTIF($M$13:OFFSET(M125,-1,0),1)&lt;=MAX(QCI!$D$13:$D$24),1+COUNTIF($M$13:OFFSET(M125,-1,0),1),-1),0)</f>
        <v>-1</v>
      </c>
      <c r="G126" s="185" t="str" cm="1">
        <f t="array" aca="1" ref="G126" ca="1">IF(ACOMPANHAMENTO="BM",OFFSET(G126,-1,0),"")</f>
        <v/>
      </c>
      <c r="H126" s="196" t="str" cm="1">
        <f t="array" aca="1" ref="H126" ca="1">IF(OR(S125=0,S125=""),"vazia",IF(AND(OR(ACOMPANHAMENTO="PLE",$R125&lt;&gt;2),$F126=0),"calculada","--&gt;"))</f>
        <v>vazia</v>
      </c>
      <c r="I126" s="197"/>
      <c r="J126" s="198" t="str">
        <f t="shared" ref="J126" ca="1" si="228">IF(AND(H125&lt;&gt;0,ISNUMBER(H125)),"PREENCHA ESTA LINHA --&gt;","")</f>
        <v/>
      </c>
      <c r="K126" s="198"/>
      <c r="L126" s="198"/>
      <c r="M126" s="199"/>
      <c r="N126" s="199"/>
      <c r="O126" s="199"/>
      <c r="P126" s="199"/>
      <c r="Q126" s="199"/>
      <c r="R126" s="199"/>
      <c r="S126" s="200"/>
      <c r="T126" s="201"/>
      <c r="U126" s="587"/>
      <c r="V126" s="587"/>
      <c r="W126" s="587"/>
      <c r="X126" s="587"/>
      <c r="Y126" s="587"/>
      <c r="Z126" s="587"/>
      <c r="AA126" s="587"/>
      <c r="AB126" s="587"/>
      <c r="AC126" s="587"/>
      <c r="AD126" s="587"/>
      <c r="AE126" s="587"/>
      <c r="AF126" s="587"/>
      <c r="AG126" s="534"/>
    </row>
    <row r="127" spans="1:33" ht="12.75" customHeight="1" x14ac:dyDescent="0.2">
      <c r="D127" s="533"/>
      <c r="E127" s="202" cm="1">
        <f t="array" aca="1" ref="E127" ca="1">IF($R125=2,
         IF(AND(ACOMPANHAMENTO="PLE",ISNUMBER($F125)),
                SUMIF((OFFSET(CÁLCULO!$AM$15:$AW$15,$F125,0,OFFSET(ORÇAMENTO!$D$15,CRONO!$F125,0))),CRONO!E$12,OFFSET(CÁLCULO!$AB$15:$AL$15,$F125,0,OFFSET(ORÇAMENTO!$D$15,CRONO!$F125,0)))
                +IF(AND($F127&lt;&gt;"",$F127&lt;&gt;0),
                        SUMIF(CÁLCULO!$AM$15:$AW$44,CRONO!E$12,CÁLCULO!$AB$15:$AL$44)/(ORÇAMENTO!$X$15-CÁLCULO.TotalAdmLocal)*CRONO!$F127,
                        0),
                 E126*$S125),
          SUMIF(OFFSET($S127,1,0,$R125-2),($M125+1)&amp;"$",OFFSET(E127,1,0,$R125-2)))</f>
        <v>0</v>
      </c>
      <c r="F127" s="185" t="str">
        <f ca="1">IF(OR($R125&lt;&gt;2,AUTOEVENTO&lt;&gt;"manual",$F126&gt;0),"",
        IF(Import.TipoArredondamento="Tradicional",
              SUMIF(OFFSET(CÁLCULO!$M$15,CRONO!$F125,0,OFFSET(ORÇAMENTO!$D$15,CRONO!$F125,0)),1,OFFSET(ORÇAMENTO!$X$15,CRONO!$F125,0,OFFSET(ORÇAMENTO!$D$15,CRONO!$F125,0))),
              0))</f>
        <v/>
      </c>
      <c r="H127" s="203"/>
      <c r="S127" s="204" t="str">
        <f t="shared" ref="S127" ca="1" si="229">M125&amp;"$"</f>
        <v>1$</v>
      </c>
      <c r="T127" s="205"/>
      <c r="U127" s="202" cm="1">
        <f t="array" aca="1" ref="U127" ca="1">IF($R125=2,
         IF(AND(ACOMPANHAMENTO="PLE",ISNUMBER($F125)),
                SUMIF((OFFSET(CÁLCULO!$AM$15:$AW$15,$F125,0,OFFSET(ORÇAMENTO!$D$15,CRONO!$F125,0))),CRONO!U$12,OFFSET(CÁLCULO!$AB$15:$AL$15,$F125,0,OFFSET(ORÇAMENTO!$D$15,CRONO!$F125,0)))
                +IF(AND($F127&lt;&gt;"",$F127&lt;&gt;0),
                        SUMIF(CÁLCULO!$AM$15:$AW$44,CRONO!U$12,CÁLCULO!$AB$15:$AL$44)/(ORÇAMENTO!$X$15-CÁLCULO.TotalAdmLocal)*CRONO!$F127,
                        0),
                 U126*$S125),
          SUMIF(OFFSET($S127,1,0,$R125-2),($M125+1)&amp;"$",OFFSET(U127,1,0,$R125-2)))</f>
        <v>0</v>
      </c>
      <c r="V127" s="202" cm="1">
        <f t="array" aca="1" ref="V127" ca="1">IF($R125=2,
         IF(AND(ACOMPANHAMENTO="PLE",ISNUMBER($F125)),
                SUMIF((OFFSET(CÁLCULO!$AM$15:$AW$15,$F125,0,OFFSET(ORÇAMENTO!$D$15,CRONO!$F125,0))),CRONO!V$12,OFFSET(CÁLCULO!$AB$15:$AL$15,$F125,0,OFFSET(ORÇAMENTO!$D$15,CRONO!$F125,0)))
                +IF(AND($F127&lt;&gt;"",$F127&lt;&gt;0),
                        SUMIF(CÁLCULO!$AM$15:$AW$44,CRONO!V$12,CÁLCULO!$AB$15:$AL$44)/(ORÇAMENTO!$X$15-CÁLCULO.TotalAdmLocal)*CRONO!$F127,
                        0),
                 V126*$S125),
          SUMIF(OFFSET($S127,1,0,$R125-2),($M125+1)&amp;"$",OFFSET(V127,1,0,$R125-2)))</f>
        <v>0</v>
      </c>
      <c r="W127" s="202" cm="1">
        <f t="array" aca="1" ref="W127" ca="1">IF($R125=2,
         IF(AND(ACOMPANHAMENTO="PLE",ISNUMBER($F125)),
                SUMIF((OFFSET(CÁLCULO!$AM$15:$AW$15,$F125,0,OFFSET(ORÇAMENTO!$D$15,CRONO!$F125,0))),CRONO!W$12,OFFSET(CÁLCULO!$AB$15:$AL$15,$F125,0,OFFSET(ORÇAMENTO!$D$15,CRONO!$F125,0)))
                +IF(AND($F127&lt;&gt;"",$F127&lt;&gt;0),
                        SUMIF(CÁLCULO!$AM$15:$AW$44,CRONO!W$12,CÁLCULO!$AB$15:$AL$44)/(ORÇAMENTO!$X$15-CÁLCULO.TotalAdmLocal)*CRONO!$F127,
                        0),
                 W126*$S125),
          SUMIF(OFFSET($S127,1,0,$R125-2),($M125+1)&amp;"$",OFFSET(W127,1,0,$R125-2)))</f>
        <v>0</v>
      </c>
      <c r="X127" s="202" cm="1">
        <f t="array" aca="1" ref="X127" ca="1">IF($R125=2,
         IF(AND(ACOMPANHAMENTO="PLE",ISNUMBER($F125)),
                SUMIF((OFFSET(CÁLCULO!$AM$15:$AW$15,$F125,0,OFFSET(ORÇAMENTO!$D$15,CRONO!$F125,0))),CRONO!X$12,OFFSET(CÁLCULO!$AB$15:$AL$15,$F125,0,OFFSET(ORÇAMENTO!$D$15,CRONO!$F125,0)))
                +IF(AND($F127&lt;&gt;"",$F127&lt;&gt;0),
                        SUMIF(CÁLCULO!$AM$15:$AW$44,CRONO!X$12,CÁLCULO!$AB$15:$AL$44)/(ORÇAMENTO!$X$15-CÁLCULO.TotalAdmLocal)*CRONO!$F127,
                        0),
                 X126*$S125),
          SUMIF(OFFSET($S127,1,0,$R125-2),($M125+1)&amp;"$",OFFSET(X127,1,0,$R125-2)))</f>
        <v>0</v>
      </c>
      <c r="Y127" s="202" cm="1">
        <f t="array" aca="1" ref="Y127" ca="1">IF($R125=2,
         IF(AND(ACOMPANHAMENTO="PLE",ISNUMBER($F125)),
                SUMIF((OFFSET(CÁLCULO!$AM$15:$AW$15,$F125,0,OFFSET(ORÇAMENTO!$D$15,CRONO!$F125,0))),CRONO!Y$12,OFFSET(CÁLCULO!$AB$15:$AL$15,$F125,0,OFFSET(ORÇAMENTO!$D$15,CRONO!$F125,0)))
                +IF(AND($F127&lt;&gt;"",$F127&lt;&gt;0),
                        SUMIF(CÁLCULO!$AM$15:$AW$44,CRONO!Y$12,CÁLCULO!$AB$15:$AL$44)/(ORÇAMENTO!$X$15-CÁLCULO.TotalAdmLocal)*CRONO!$F127,
                        0),
                 Y126*$S125),
          SUMIF(OFFSET($S127,1,0,$R125-2),($M125+1)&amp;"$",OFFSET(Y127,1,0,$R125-2)))</f>
        <v>0</v>
      </c>
      <c r="Z127" s="202" cm="1">
        <f t="array" aca="1" ref="Z127" ca="1">IF($R125=2,
         IF(AND(ACOMPANHAMENTO="PLE",ISNUMBER($F125)),
                SUMIF((OFFSET(CÁLCULO!$AM$15:$AW$15,$F125,0,OFFSET(ORÇAMENTO!$D$15,CRONO!$F125,0))),CRONO!Z$12,OFFSET(CÁLCULO!$AB$15:$AL$15,$F125,0,OFFSET(ORÇAMENTO!$D$15,CRONO!$F125,0)))
                +IF(AND($F127&lt;&gt;"",$F127&lt;&gt;0),
                        SUMIF(CÁLCULO!$AM$15:$AW$44,CRONO!Z$12,CÁLCULO!$AB$15:$AL$44)/(ORÇAMENTO!$X$15-CÁLCULO.TotalAdmLocal)*CRONO!$F127,
                        0),
                 Z126*$S125),
          SUMIF(OFFSET($S127,1,0,$R125-2),($M125+1)&amp;"$",OFFSET(Z127,1,0,$R125-2)))</f>
        <v>0</v>
      </c>
      <c r="AA127" s="202" cm="1">
        <f t="array" aca="1" ref="AA127" ca="1">IF($R125=2,
         IF(AND(ACOMPANHAMENTO="PLE",ISNUMBER($F125)),
                SUMIF((OFFSET(CÁLCULO!$AM$15:$AW$15,$F125,0,OFFSET(ORÇAMENTO!$D$15,CRONO!$F125,0))),CRONO!AA$12,OFFSET(CÁLCULO!$AB$15:$AL$15,$F125,0,OFFSET(ORÇAMENTO!$D$15,CRONO!$F125,0)))
                +IF(AND($F127&lt;&gt;"",$F127&lt;&gt;0),
                        SUMIF(CÁLCULO!$AM$15:$AW$44,CRONO!AA$12,CÁLCULO!$AB$15:$AL$44)/(ORÇAMENTO!$X$15-CÁLCULO.TotalAdmLocal)*CRONO!$F127,
                        0),
                 AA126*$S125),
          SUMIF(OFFSET($S127,1,0,$R125-2),($M125+1)&amp;"$",OFFSET(AA127,1,0,$R125-2)))</f>
        <v>0</v>
      </c>
      <c r="AB127" s="202" cm="1">
        <f t="array" aca="1" ref="AB127" ca="1">IF($R125=2,
         IF(AND(ACOMPANHAMENTO="PLE",ISNUMBER($F125)),
                SUMIF((OFFSET(CÁLCULO!$AM$15:$AW$15,$F125,0,OFFSET(ORÇAMENTO!$D$15,CRONO!$F125,0))),CRONO!AB$12,OFFSET(CÁLCULO!$AB$15:$AL$15,$F125,0,OFFSET(ORÇAMENTO!$D$15,CRONO!$F125,0)))
                +IF(AND($F127&lt;&gt;"",$F127&lt;&gt;0),
                        SUMIF(CÁLCULO!$AM$15:$AW$44,CRONO!AB$12,CÁLCULO!$AB$15:$AL$44)/(ORÇAMENTO!$X$15-CÁLCULO.TotalAdmLocal)*CRONO!$F127,
                        0),
                 AB126*$S125),
          SUMIF(OFFSET($S127,1,0,$R125-2),($M125+1)&amp;"$",OFFSET(AB127,1,0,$R125-2)))</f>
        <v>0</v>
      </c>
      <c r="AC127" s="202" cm="1">
        <f t="array" aca="1" ref="AC127" ca="1">IF($R125=2,
         IF(AND(ACOMPANHAMENTO="PLE",ISNUMBER($F125)),
                SUMIF((OFFSET(CÁLCULO!$AM$15:$AW$15,$F125,0,OFFSET(ORÇAMENTO!$D$15,CRONO!$F125,0))),CRONO!AC$12,OFFSET(CÁLCULO!$AB$15:$AL$15,$F125,0,OFFSET(ORÇAMENTO!$D$15,CRONO!$F125,0)))
                +IF(AND($F127&lt;&gt;"",$F127&lt;&gt;0),
                        SUMIF(CÁLCULO!$AM$15:$AW$44,CRONO!AC$12,CÁLCULO!$AB$15:$AL$44)/(ORÇAMENTO!$X$15-CÁLCULO.TotalAdmLocal)*CRONO!$F127,
                        0),
                 AC126*$S125),
          SUMIF(OFFSET($S127,1,0,$R125-2),($M125+1)&amp;"$",OFFSET(AC127,1,0,$R125-2)))</f>
        <v>0</v>
      </c>
      <c r="AD127" s="202" cm="1">
        <f t="array" aca="1" ref="AD127" ca="1">IF($R125=2,
         IF(AND(ACOMPANHAMENTO="PLE",ISNUMBER($F125)),
                SUMIF((OFFSET(CÁLCULO!$AM$15:$AW$15,$F125,0,OFFSET(ORÇAMENTO!$D$15,CRONO!$F125,0))),CRONO!AD$12,OFFSET(CÁLCULO!$AB$15:$AL$15,$F125,0,OFFSET(ORÇAMENTO!$D$15,CRONO!$F125,0)))
                +IF(AND($F127&lt;&gt;"",$F127&lt;&gt;0),
                        SUMIF(CÁLCULO!$AM$15:$AW$44,CRONO!AD$12,CÁLCULO!$AB$15:$AL$44)/(ORÇAMENTO!$X$15-CÁLCULO.TotalAdmLocal)*CRONO!$F127,
                        0),
                 AD126*$S125),
          SUMIF(OFFSET($S127,1,0,$R125-2),($M125+1)&amp;"$",OFFSET(AD127,1,0,$R125-2)))</f>
        <v>0</v>
      </c>
      <c r="AE127" s="202" cm="1">
        <f t="array" aca="1" ref="AE127" ca="1">IF($R125=2,
         IF(AND(ACOMPANHAMENTO="PLE",ISNUMBER($F125)),
                SUMIF((OFFSET(CÁLCULO!$AM$15:$AW$15,$F125,0,OFFSET(ORÇAMENTO!$D$15,CRONO!$F125,0))),CRONO!AE$12,OFFSET(CÁLCULO!$AB$15:$AL$15,$F125,0,OFFSET(ORÇAMENTO!$D$15,CRONO!$F125,0)))
                +IF(AND($F127&lt;&gt;"",$F127&lt;&gt;0),
                        SUMIF(CÁLCULO!$AM$15:$AW$44,CRONO!AE$12,CÁLCULO!$AB$15:$AL$44)/(ORÇAMENTO!$X$15-CÁLCULO.TotalAdmLocal)*CRONO!$F127,
                        0),
                 AE126*$S125),
          SUMIF(OFFSET($S127,1,0,$R125-2),($M125+1)&amp;"$",OFFSET(AE127,1,0,$R125-2)))</f>
        <v>0</v>
      </c>
      <c r="AF127" s="202" cm="1">
        <f t="array" aca="1" ref="AF127" ca="1">IF($R125=2,
         IF(AND(ACOMPANHAMENTO="PLE",ISNUMBER($F125)),
                SUMIF((OFFSET(CÁLCULO!$AM$15:$AW$15,$F125,0,OFFSET(ORÇAMENTO!$D$15,CRONO!$F125,0))),CRONO!AF$12,OFFSET(CÁLCULO!$AB$15:$AL$15,$F125,0,OFFSET(ORÇAMENTO!$D$15,CRONO!$F125,0)))
                +IF(AND($F127&lt;&gt;"",$F127&lt;&gt;0),
                        SUMIF(CÁLCULO!$AM$15:$AW$44,CRONO!AF$12,CÁLCULO!$AB$15:$AL$44)/(ORÇAMENTO!$X$15-CÁLCULO.TotalAdmLocal)*CRONO!$F127,
                        0),
                 AF126*$S125),
          SUMIF(OFFSET($S127,1,0,$R125-2),($M125+1)&amp;"$",OFFSET(AF127,1,0,$R125-2)))</f>
        <v>0</v>
      </c>
      <c r="AG127" s="534"/>
    </row>
    <row r="128" spans="1:33" x14ac:dyDescent="0.2">
      <c r="A128" s="186" t="str">
        <f t="shared" ref="A128" ca="1" si="230">IF($M128&gt;1,_xlfn.CONCAT($I128," ",$J128),"")</f>
        <v/>
      </c>
      <c r="B128" s="185">
        <f t="shared" ref="B128" ca="1" si="231">OFFSET(B128,-3,0)+1</f>
        <v>39</v>
      </c>
      <c r="C128" s="185">
        <f ca="1">IF($R128&lt;&gt;2,0,IF($S128=0,1,IF(F129&gt;0,OFFSET(QCI!$M$13,SUBSTITUTE(F129,".",""),0),OFFSET(ORÇAMENTO!$AA$15,CRONO!$F128,0))/$S128))</f>
        <v>0</v>
      </c>
      <c r="D128" s="185">
        <f ca="1">IF($R128&lt;&gt;2,0,IF($S128=0,1,IF(F129&gt;0,OFFSET(QCI!$N$13,SUBSTITUTE(F129,".",""),0),OFFSET(ORÇAMENTO!$AB$15,CRONO!$F128,0))/$S128))</f>
        <v>0</v>
      </c>
      <c r="E128" s="188" t="e" cm="1">
        <f t="array" aca="1" ref="E128" ca="1">IF(AND($R128=2,ACOMPANHAMENTO="BM"),ROUND(E129,4),E130/$S128)</f>
        <v>#VALUE!</v>
      </c>
      <c r="F128" s="185" t="e" cm="1">
        <f t="array" aca="1" ref="F128" ca="1">IF(B128&lt;=ORÇAMENTO.MáximoListaCrono,MATCH(B128,ORÇAMENTO.ListaCrono,0),NA())</f>
        <v>#N/A</v>
      </c>
      <c r="G128" s="185" t="str">
        <f t="shared" ref="G128" ca="1" si="232">IF(AND($F129&lt;&gt;-1,$S128&gt;0),"F","")</f>
        <v/>
      </c>
      <c r="H128" s="189" t="str" cm="1">
        <f t="array" aca="1" ref="H128" ca="1">IF(OR(S128=0,S128=""),"Linha",IF(AND(OR(ACOMPANHAMENTO="PLE",$R128&lt;&gt;2),$F129=0),"Linha",ROUND(1-SUM(U128:AG128),4)))</f>
        <v>Linha</v>
      </c>
      <c r="I128" s="190" t="str">
        <f ca="1">IF($F129=0,OFFSET(ORÇAMENTO!O$15,$F128,0),IF($F129&lt;&gt;-1,OFFSET(QCI!$D$13,$F129,0),""))</f>
        <v/>
      </c>
      <c r="J128" s="191" t="str">
        <f ca="1">IF($F129=0,OFFSET(ORÇAMENTO!R$15,$F128,0),IF($F129&lt;&gt;-1,OFFSET(QCI!$G$13,$F129,0),""))</f>
        <v/>
      </c>
      <c r="K128" s="191"/>
      <c r="L128" s="191"/>
      <c r="M128" s="192">
        <f ca="1">IF($F129=0,OFFSET(ORÇAMENTO!C$15,$F128,0),1)</f>
        <v>1</v>
      </c>
      <c r="N128" s="193">
        <f ca="1">IF($F129=-1,0,IF(N$13&lt;=$M128,IF(ISERROR(MATCH(N$13,OFFSET($M128,1,0,ROW($M$164)-ROW($M128)-1),0)),ROW($M$164)-ROW($M128)-1,MATCH(N$13,OFFSET($M128,1,0,ROW($M$164)-ROW($M128)-1),0)-1),0))</f>
        <v>0</v>
      </c>
      <c r="O128" s="193">
        <f ca="1">IF($F129=-1,0,IF(O$13&lt;=$M128,IF(ISERROR(MATCH(O$13,OFFSET($M128,1,0,ROW($M$164)-ROW($M128)-1),0)),ROW($M$164)-ROW($M128)-1,MATCH(O$13,OFFSET($M128,1,0,ROW($M$164)-ROW($M128)-1),0)-1),0))</f>
        <v>0</v>
      </c>
      <c r="P128" s="193">
        <f ca="1">IF($F129=-1,0,IF(P$13&lt;=$M128,IF(ISERROR(MATCH(P$13,OFFSET($M128,1,0,ROW($M$164)-ROW($M128)-1),0)),ROW($M$164)-ROW($M128)-1,MATCH(P$13,OFFSET($M128,1,0,ROW($M$164)-ROW($M128)-1),0)-1),0))</f>
        <v>0</v>
      </c>
      <c r="Q128" s="193">
        <f ca="1">IF($F129=-1,0,IF(Q$13&lt;=$M128,IF(ISERROR(MATCH(Q$13,OFFSET($M128,1,0,ROW($M$164)-ROW($M128)-1),0)),ROW($M$164)-ROW($M128)-1,MATCH(Q$13,OFFSET($M128,1,0,ROW($M$164)-ROW($M128)-1),0)-1),0))</f>
        <v>0</v>
      </c>
      <c r="R128" s="193">
        <f t="shared" ref="R128" ca="1" si="233">MIN(OFFSET(M128,0,1,,M128))</f>
        <v>0</v>
      </c>
      <c r="S128" s="194" t="str">
        <f ca="1">IF($F129=0,OFFSET(ORÇAMENTO!X$15,$F128,0),IF($F129&lt;&gt;-1,OFFSET(QCI!$O$13,$F129,0),""))</f>
        <v/>
      </c>
      <c r="T128" s="195" t="s">
        <v>785</v>
      </c>
      <c r="U128" s="188" t="e" cm="1">
        <f t="array" aca="1" ref="U128" ca="1">IF(AND($R128=2,ACOMPANHAMENTO="BM"),ROUND(U129,4),U130/$S128)</f>
        <v>#VALUE!</v>
      </c>
      <c r="V128" s="188" t="e" cm="1">
        <f t="array" aca="1" ref="V128" ca="1">IF(AND($R128=2,ACOMPANHAMENTO="BM"),ROUND(V129,4),V130/$S128)</f>
        <v>#VALUE!</v>
      </c>
      <c r="W128" s="188" t="e" cm="1">
        <f t="array" aca="1" ref="W128" ca="1">IF(AND($R128=2,ACOMPANHAMENTO="BM"),ROUND(W129,4),W130/$S128)</f>
        <v>#VALUE!</v>
      </c>
      <c r="X128" s="188" t="e" cm="1">
        <f t="array" aca="1" ref="X128" ca="1">IF(AND($R128=2,ACOMPANHAMENTO="BM"),ROUND(X129,4),X130/$S128)</f>
        <v>#VALUE!</v>
      </c>
      <c r="Y128" s="188" t="e" cm="1">
        <f t="array" aca="1" ref="Y128" ca="1">IF(AND($R128=2,ACOMPANHAMENTO="BM"),ROUND(Y129,4),Y130/$S128)</f>
        <v>#VALUE!</v>
      </c>
      <c r="Z128" s="188" t="e" cm="1">
        <f t="array" aca="1" ref="Z128" ca="1">IF(AND($R128=2,ACOMPANHAMENTO="BM"),ROUND(Z129,4),Z130/$S128)</f>
        <v>#VALUE!</v>
      </c>
      <c r="AA128" s="188" t="e" cm="1">
        <f t="array" aca="1" ref="AA128" ca="1">IF(AND($R128=2,ACOMPANHAMENTO="BM"),ROUND(AA129,4),AA130/$S128)</f>
        <v>#VALUE!</v>
      </c>
      <c r="AB128" s="188" t="e" cm="1">
        <f t="array" aca="1" ref="AB128" ca="1">IF(AND($R128=2,ACOMPANHAMENTO="BM"),ROUND(AB129,4),AB130/$S128)</f>
        <v>#VALUE!</v>
      </c>
      <c r="AC128" s="188" t="e" cm="1">
        <f t="array" aca="1" ref="AC128" ca="1">IF(AND($R128=2,ACOMPANHAMENTO="BM"),ROUND(AC129,4),AC130/$S128)</f>
        <v>#VALUE!</v>
      </c>
      <c r="AD128" s="188" t="e" cm="1">
        <f t="array" aca="1" ref="AD128" ca="1">IF(AND($R128=2,ACOMPANHAMENTO="BM"),ROUND(AD129,4),AD130/$S128)</f>
        <v>#VALUE!</v>
      </c>
      <c r="AE128" s="188" t="e" cm="1">
        <f t="array" aca="1" ref="AE128" ca="1">IF(AND($R128=2,ACOMPANHAMENTO="BM"),ROUND(AE129,4),AE130/$S128)</f>
        <v>#VALUE!</v>
      </c>
      <c r="AF128" s="188" t="e" cm="1">
        <f t="array" aca="1" ref="AF128" ca="1">IF(AND($R128=2,ACOMPANHAMENTO="BM"),ROUND(AF129,4),AF130/$S128)</f>
        <v>#VALUE!</v>
      </c>
      <c r="AG128" s="534"/>
    </row>
    <row r="129" spans="1:33" ht="12.75" customHeight="1" x14ac:dyDescent="0.2">
      <c r="E129" s="587"/>
      <c r="F129" s="185">
        <f ca="1">IF(ISERROR(F128),IF(1+COUNTIF($M$13:OFFSET(M128,-1,0),1)&lt;=MAX(QCI!$D$13:$D$24),1+COUNTIF($M$13:OFFSET(M128,-1,0),1),-1),0)</f>
        <v>-1</v>
      </c>
      <c r="G129" s="185" t="str" cm="1">
        <f t="array" aca="1" ref="G129" ca="1">IF(ACOMPANHAMENTO="BM",OFFSET(G129,-1,0),"")</f>
        <v/>
      </c>
      <c r="H129" s="196" t="str" cm="1">
        <f t="array" aca="1" ref="H129" ca="1">IF(OR(S128=0,S128=""),"vazia",IF(AND(OR(ACOMPANHAMENTO="PLE",$R128&lt;&gt;2),$F129=0),"calculada","--&gt;"))</f>
        <v>vazia</v>
      </c>
      <c r="I129" s="197"/>
      <c r="J129" s="198" t="str">
        <f t="shared" ref="J129" ca="1" si="234">IF(AND(H128&lt;&gt;0,ISNUMBER(H128)),"PREENCHA ESTA LINHA --&gt;","")</f>
        <v/>
      </c>
      <c r="K129" s="198"/>
      <c r="L129" s="198"/>
      <c r="M129" s="199"/>
      <c r="N129" s="199"/>
      <c r="O129" s="199"/>
      <c r="P129" s="199"/>
      <c r="Q129" s="199"/>
      <c r="R129" s="199"/>
      <c r="S129" s="200"/>
      <c r="T129" s="201"/>
      <c r="U129" s="587"/>
      <c r="V129" s="587"/>
      <c r="W129" s="587"/>
      <c r="X129" s="587"/>
      <c r="Y129" s="587"/>
      <c r="Z129" s="587"/>
      <c r="AA129" s="587"/>
      <c r="AB129" s="587"/>
      <c r="AC129" s="587"/>
      <c r="AD129" s="587"/>
      <c r="AE129" s="587"/>
      <c r="AF129" s="587"/>
      <c r="AG129" s="534"/>
    </row>
    <row r="130" spans="1:33" ht="12.75" customHeight="1" x14ac:dyDescent="0.2">
      <c r="D130" s="533"/>
      <c r="E130" s="202" cm="1">
        <f t="array" aca="1" ref="E130" ca="1">IF($R128=2,
         IF(AND(ACOMPANHAMENTO="PLE",ISNUMBER($F128)),
                SUMIF((OFFSET(CÁLCULO!$AM$15:$AW$15,$F128,0,OFFSET(ORÇAMENTO!$D$15,CRONO!$F128,0))),CRONO!E$12,OFFSET(CÁLCULO!$AB$15:$AL$15,$F128,0,OFFSET(ORÇAMENTO!$D$15,CRONO!$F128,0)))
                +IF(AND($F130&lt;&gt;"",$F130&lt;&gt;0),
                        SUMIF(CÁLCULO!$AM$15:$AW$44,CRONO!E$12,CÁLCULO!$AB$15:$AL$44)/(ORÇAMENTO!$X$15-CÁLCULO.TotalAdmLocal)*CRONO!$F130,
                        0),
                 E129*$S128),
          SUMIF(OFFSET($S130,1,0,$R128-2),($M128+1)&amp;"$",OFFSET(E130,1,0,$R128-2)))</f>
        <v>0</v>
      </c>
      <c r="F130" s="185" t="str">
        <f ca="1">IF(OR($R128&lt;&gt;2,AUTOEVENTO&lt;&gt;"manual",$F129&gt;0),"",
        IF(Import.TipoArredondamento="Tradicional",
              SUMIF(OFFSET(CÁLCULO!$M$15,CRONO!$F128,0,OFFSET(ORÇAMENTO!$D$15,CRONO!$F128,0)),1,OFFSET(ORÇAMENTO!$X$15,CRONO!$F128,0,OFFSET(ORÇAMENTO!$D$15,CRONO!$F128,0))),
              0))</f>
        <v/>
      </c>
      <c r="H130" s="203"/>
      <c r="S130" s="204" t="str">
        <f t="shared" ref="S130" ca="1" si="235">M128&amp;"$"</f>
        <v>1$</v>
      </c>
      <c r="T130" s="205"/>
      <c r="U130" s="202" cm="1">
        <f t="array" aca="1" ref="U130" ca="1">IF($R128=2,
         IF(AND(ACOMPANHAMENTO="PLE",ISNUMBER($F128)),
                SUMIF((OFFSET(CÁLCULO!$AM$15:$AW$15,$F128,0,OFFSET(ORÇAMENTO!$D$15,CRONO!$F128,0))),CRONO!U$12,OFFSET(CÁLCULO!$AB$15:$AL$15,$F128,0,OFFSET(ORÇAMENTO!$D$15,CRONO!$F128,0)))
                +IF(AND($F130&lt;&gt;"",$F130&lt;&gt;0),
                        SUMIF(CÁLCULO!$AM$15:$AW$44,CRONO!U$12,CÁLCULO!$AB$15:$AL$44)/(ORÇAMENTO!$X$15-CÁLCULO.TotalAdmLocal)*CRONO!$F130,
                        0),
                 U129*$S128),
          SUMIF(OFFSET($S130,1,0,$R128-2),($M128+1)&amp;"$",OFFSET(U130,1,0,$R128-2)))</f>
        <v>0</v>
      </c>
      <c r="V130" s="202" cm="1">
        <f t="array" aca="1" ref="V130" ca="1">IF($R128=2,
         IF(AND(ACOMPANHAMENTO="PLE",ISNUMBER($F128)),
                SUMIF((OFFSET(CÁLCULO!$AM$15:$AW$15,$F128,0,OFFSET(ORÇAMENTO!$D$15,CRONO!$F128,0))),CRONO!V$12,OFFSET(CÁLCULO!$AB$15:$AL$15,$F128,0,OFFSET(ORÇAMENTO!$D$15,CRONO!$F128,0)))
                +IF(AND($F130&lt;&gt;"",$F130&lt;&gt;0),
                        SUMIF(CÁLCULO!$AM$15:$AW$44,CRONO!V$12,CÁLCULO!$AB$15:$AL$44)/(ORÇAMENTO!$X$15-CÁLCULO.TotalAdmLocal)*CRONO!$F130,
                        0),
                 V129*$S128),
          SUMIF(OFFSET($S130,1,0,$R128-2),($M128+1)&amp;"$",OFFSET(V130,1,0,$R128-2)))</f>
        <v>0</v>
      </c>
      <c r="W130" s="202" cm="1">
        <f t="array" aca="1" ref="W130" ca="1">IF($R128=2,
         IF(AND(ACOMPANHAMENTO="PLE",ISNUMBER($F128)),
                SUMIF((OFFSET(CÁLCULO!$AM$15:$AW$15,$F128,0,OFFSET(ORÇAMENTO!$D$15,CRONO!$F128,0))),CRONO!W$12,OFFSET(CÁLCULO!$AB$15:$AL$15,$F128,0,OFFSET(ORÇAMENTO!$D$15,CRONO!$F128,0)))
                +IF(AND($F130&lt;&gt;"",$F130&lt;&gt;0),
                        SUMIF(CÁLCULO!$AM$15:$AW$44,CRONO!W$12,CÁLCULO!$AB$15:$AL$44)/(ORÇAMENTO!$X$15-CÁLCULO.TotalAdmLocal)*CRONO!$F130,
                        0),
                 W129*$S128),
          SUMIF(OFFSET($S130,1,0,$R128-2),($M128+1)&amp;"$",OFFSET(W130,1,0,$R128-2)))</f>
        <v>0</v>
      </c>
      <c r="X130" s="202" cm="1">
        <f t="array" aca="1" ref="X130" ca="1">IF($R128=2,
         IF(AND(ACOMPANHAMENTO="PLE",ISNUMBER($F128)),
                SUMIF((OFFSET(CÁLCULO!$AM$15:$AW$15,$F128,0,OFFSET(ORÇAMENTO!$D$15,CRONO!$F128,0))),CRONO!X$12,OFFSET(CÁLCULO!$AB$15:$AL$15,$F128,0,OFFSET(ORÇAMENTO!$D$15,CRONO!$F128,0)))
                +IF(AND($F130&lt;&gt;"",$F130&lt;&gt;0),
                        SUMIF(CÁLCULO!$AM$15:$AW$44,CRONO!X$12,CÁLCULO!$AB$15:$AL$44)/(ORÇAMENTO!$X$15-CÁLCULO.TotalAdmLocal)*CRONO!$F130,
                        0),
                 X129*$S128),
          SUMIF(OFFSET($S130,1,0,$R128-2),($M128+1)&amp;"$",OFFSET(X130,1,0,$R128-2)))</f>
        <v>0</v>
      </c>
      <c r="Y130" s="202" cm="1">
        <f t="array" aca="1" ref="Y130" ca="1">IF($R128=2,
         IF(AND(ACOMPANHAMENTO="PLE",ISNUMBER($F128)),
                SUMIF((OFFSET(CÁLCULO!$AM$15:$AW$15,$F128,0,OFFSET(ORÇAMENTO!$D$15,CRONO!$F128,0))),CRONO!Y$12,OFFSET(CÁLCULO!$AB$15:$AL$15,$F128,0,OFFSET(ORÇAMENTO!$D$15,CRONO!$F128,0)))
                +IF(AND($F130&lt;&gt;"",$F130&lt;&gt;0),
                        SUMIF(CÁLCULO!$AM$15:$AW$44,CRONO!Y$12,CÁLCULO!$AB$15:$AL$44)/(ORÇAMENTO!$X$15-CÁLCULO.TotalAdmLocal)*CRONO!$F130,
                        0),
                 Y129*$S128),
          SUMIF(OFFSET($S130,1,0,$R128-2),($M128+1)&amp;"$",OFFSET(Y130,1,0,$R128-2)))</f>
        <v>0</v>
      </c>
      <c r="Z130" s="202" cm="1">
        <f t="array" aca="1" ref="Z130" ca="1">IF($R128=2,
         IF(AND(ACOMPANHAMENTO="PLE",ISNUMBER($F128)),
                SUMIF((OFFSET(CÁLCULO!$AM$15:$AW$15,$F128,0,OFFSET(ORÇAMENTO!$D$15,CRONO!$F128,0))),CRONO!Z$12,OFFSET(CÁLCULO!$AB$15:$AL$15,$F128,0,OFFSET(ORÇAMENTO!$D$15,CRONO!$F128,0)))
                +IF(AND($F130&lt;&gt;"",$F130&lt;&gt;0),
                        SUMIF(CÁLCULO!$AM$15:$AW$44,CRONO!Z$12,CÁLCULO!$AB$15:$AL$44)/(ORÇAMENTO!$X$15-CÁLCULO.TotalAdmLocal)*CRONO!$F130,
                        0),
                 Z129*$S128),
          SUMIF(OFFSET($S130,1,0,$R128-2),($M128+1)&amp;"$",OFFSET(Z130,1,0,$R128-2)))</f>
        <v>0</v>
      </c>
      <c r="AA130" s="202" cm="1">
        <f t="array" aca="1" ref="AA130" ca="1">IF($R128=2,
         IF(AND(ACOMPANHAMENTO="PLE",ISNUMBER($F128)),
                SUMIF((OFFSET(CÁLCULO!$AM$15:$AW$15,$F128,0,OFFSET(ORÇAMENTO!$D$15,CRONO!$F128,0))),CRONO!AA$12,OFFSET(CÁLCULO!$AB$15:$AL$15,$F128,0,OFFSET(ORÇAMENTO!$D$15,CRONO!$F128,0)))
                +IF(AND($F130&lt;&gt;"",$F130&lt;&gt;0),
                        SUMIF(CÁLCULO!$AM$15:$AW$44,CRONO!AA$12,CÁLCULO!$AB$15:$AL$44)/(ORÇAMENTO!$X$15-CÁLCULO.TotalAdmLocal)*CRONO!$F130,
                        0),
                 AA129*$S128),
          SUMIF(OFFSET($S130,1,0,$R128-2),($M128+1)&amp;"$",OFFSET(AA130,1,0,$R128-2)))</f>
        <v>0</v>
      </c>
      <c r="AB130" s="202" cm="1">
        <f t="array" aca="1" ref="AB130" ca="1">IF($R128=2,
         IF(AND(ACOMPANHAMENTO="PLE",ISNUMBER($F128)),
                SUMIF((OFFSET(CÁLCULO!$AM$15:$AW$15,$F128,0,OFFSET(ORÇAMENTO!$D$15,CRONO!$F128,0))),CRONO!AB$12,OFFSET(CÁLCULO!$AB$15:$AL$15,$F128,0,OFFSET(ORÇAMENTO!$D$15,CRONO!$F128,0)))
                +IF(AND($F130&lt;&gt;"",$F130&lt;&gt;0),
                        SUMIF(CÁLCULO!$AM$15:$AW$44,CRONO!AB$12,CÁLCULO!$AB$15:$AL$44)/(ORÇAMENTO!$X$15-CÁLCULO.TotalAdmLocal)*CRONO!$F130,
                        0),
                 AB129*$S128),
          SUMIF(OFFSET($S130,1,0,$R128-2),($M128+1)&amp;"$",OFFSET(AB130,1,0,$R128-2)))</f>
        <v>0</v>
      </c>
      <c r="AC130" s="202" cm="1">
        <f t="array" aca="1" ref="AC130" ca="1">IF($R128=2,
         IF(AND(ACOMPANHAMENTO="PLE",ISNUMBER($F128)),
                SUMIF((OFFSET(CÁLCULO!$AM$15:$AW$15,$F128,0,OFFSET(ORÇAMENTO!$D$15,CRONO!$F128,0))),CRONO!AC$12,OFFSET(CÁLCULO!$AB$15:$AL$15,$F128,0,OFFSET(ORÇAMENTO!$D$15,CRONO!$F128,0)))
                +IF(AND($F130&lt;&gt;"",$F130&lt;&gt;0),
                        SUMIF(CÁLCULO!$AM$15:$AW$44,CRONO!AC$12,CÁLCULO!$AB$15:$AL$44)/(ORÇAMENTO!$X$15-CÁLCULO.TotalAdmLocal)*CRONO!$F130,
                        0),
                 AC129*$S128),
          SUMIF(OFFSET($S130,1,0,$R128-2),($M128+1)&amp;"$",OFFSET(AC130,1,0,$R128-2)))</f>
        <v>0</v>
      </c>
      <c r="AD130" s="202" cm="1">
        <f t="array" aca="1" ref="AD130" ca="1">IF($R128=2,
         IF(AND(ACOMPANHAMENTO="PLE",ISNUMBER($F128)),
                SUMIF((OFFSET(CÁLCULO!$AM$15:$AW$15,$F128,0,OFFSET(ORÇAMENTO!$D$15,CRONO!$F128,0))),CRONO!AD$12,OFFSET(CÁLCULO!$AB$15:$AL$15,$F128,0,OFFSET(ORÇAMENTO!$D$15,CRONO!$F128,0)))
                +IF(AND($F130&lt;&gt;"",$F130&lt;&gt;0),
                        SUMIF(CÁLCULO!$AM$15:$AW$44,CRONO!AD$12,CÁLCULO!$AB$15:$AL$44)/(ORÇAMENTO!$X$15-CÁLCULO.TotalAdmLocal)*CRONO!$F130,
                        0),
                 AD129*$S128),
          SUMIF(OFFSET($S130,1,0,$R128-2),($M128+1)&amp;"$",OFFSET(AD130,1,0,$R128-2)))</f>
        <v>0</v>
      </c>
      <c r="AE130" s="202" cm="1">
        <f t="array" aca="1" ref="AE130" ca="1">IF($R128=2,
         IF(AND(ACOMPANHAMENTO="PLE",ISNUMBER($F128)),
                SUMIF((OFFSET(CÁLCULO!$AM$15:$AW$15,$F128,0,OFFSET(ORÇAMENTO!$D$15,CRONO!$F128,0))),CRONO!AE$12,OFFSET(CÁLCULO!$AB$15:$AL$15,$F128,0,OFFSET(ORÇAMENTO!$D$15,CRONO!$F128,0)))
                +IF(AND($F130&lt;&gt;"",$F130&lt;&gt;0),
                        SUMIF(CÁLCULO!$AM$15:$AW$44,CRONO!AE$12,CÁLCULO!$AB$15:$AL$44)/(ORÇAMENTO!$X$15-CÁLCULO.TotalAdmLocal)*CRONO!$F130,
                        0),
                 AE129*$S128),
          SUMIF(OFFSET($S130,1,0,$R128-2),($M128+1)&amp;"$",OFFSET(AE130,1,0,$R128-2)))</f>
        <v>0</v>
      </c>
      <c r="AF130" s="202" cm="1">
        <f t="array" aca="1" ref="AF130" ca="1">IF($R128=2,
         IF(AND(ACOMPANHAMENTO="PLE",ISNUMBER($F128)),
                SUMIF((OFFSET(CÁLCULO!$AM$15:$AW$15,$F128,0,OFFSET(ORÇAMENTO!$D$15,CRONO!$F128,0))),CRONO!AF$12,OFFSET(CÁLCULO!$AB$15:$AL$15,$F128,0,OFFSET(ORÇAMENTO!$D$15,CRONO!$F128,0)))
                +IF(AND($F130&lt;&gt;"",$F130&lt;&gt;0),
                        SUMIF(CÁLCULO!$AM$15:$AW$44,CRONO!AF$12,CÁLCULO!$AB$15:$AL$44)/(ORÇAMENTO!$X$15-CÁLCULO.TotalAdmLocal)*CRONO!$F130,
                        0),
                 AF129*$S128),
          SUMIF(OFFSET($S130,1,0,$R128-2),($M128+1)&amp;"$",OFFSET(AF130,1,0,$R128-2)))</f>
        <v>0</v>
      </c>
      <c r="AG130" s="534"/>
    </row>
    <row r="131" spans="1:33" x14ac:dyDescent="0.2">
      <c r="A131" s="186" t="str">
        <f t="shared" ref="A131" ca="1" si="236">IF($M131&gt;1,_xlfn.CONCAT($I131," ",$J131),"")</f>
        <v/>
      </c>
      <c r="B131" s="185">
        <f t="shared" ref="B131" ca="1" si="237">OFFSET(B131,-3,0)+1</f>
        <v>40</v>
      </c>
      <c r="C131" s="185">
        <f ca="1">IF($R131&lt;&gt;2,0,IF($S131=0,1,IF(F132&gt;0,OFFSET(QCI!$M$13,SUBSTITUTE(F132,".",""),0),OFFSET(ORÇAMENTO!$AA$15,CRONO!$F131,0))/$S131))</f>
        <v>0</v>
      </c>
      <c r="D131" s="185">
        <f ca="1">IF($R131&lt;&gt;2,0,IF($S131=0,1,IF(F132&gt;0,OFFSET(QCI!$N$13,SUBSTITUTE(F132,".",""),0),OFFSET(ORÇAMENTO!$AB$15,CRONO!$F131,0))/$S131))</f>
        <v>0</v>
      </c>
      <c r="E131" s="188" t="e" cm="1">
        <f t="array" aca="1" ref="E131" ca="1">IF(AND($R131=2,ACOMPANHAMENTO="BM"),ROUND(E132,4),E133/$S131)</f>
        <v>#VALUE!</v>
      </c>
      <c r="F131" s="185" t="e" cm="1">
        <f t="array" aca="1" ref="F131" ca="1">IF(B131&lt;=ORÇAMENTO.MáximoListaCrono,MATCH(B131,ORÇAMENTO.ListaCrono,0),NA())</f>
        <v>#N/A</v>
      </c>
      <c r="G131" s="185" t="str">
        <f t="shared" ref="G131" ca="1" si="238">IF(AND($F132&lt;&gt;-1,$S131&gt;0),"F","")</f>
        <v/>
      </c>
      <c r="H131" s="189" t="str" cm="1">
        <f t="array" aca="1" ref="H131" ca="1">IF(OR(S131=0,S131=""),"Linha",IF(AND(OR(ACOMPANHAMENTO="PLE",$R131&lt;&gt;2),$F132=0),"Linha",ROUND(1-SUM(U131:AG131),4)))</f>
        <v>Linha</v>
      </c>
      <c r="I131" s="190" t="str">
        <f ca="1">IF($F132=0,OFFSET(ORÇAMENTO!O$15,$F131,0),IF($F132&lt;&gt;-1,OFFSET(QCI!$D$13,$F132,0),""))</f>
        <v/>
      </c>
      <c r="J131" s="191" t="str">
        <f ca="1">IF($F132=0,OFFSET(ORÇAMENTO!R$15,$F131,0),IF($F132&lt;&gt;-1,OFFSET(QCI!$G$13,$F132,0),""))</f>
        <v/>
      </c>
      <c r="K131" s="191"/>
      <c r="L131" s="191"/>
      <c r="M131" s="192">
        <f ca="1">IF($F132=0,OFFSET(ORÇAMENTO!C$15,$F131,0),1)</f>
        <v>1</v>
      </c>
      <c r="N131" s="193">
        <f ca="1">IF($F132=-1,0,IF(N$13&lt;=$M131,IF(ISERROR(MATCH(N$13,OFFSET($M131,1,0,ROW($M$164)-ROW($M131)-1),0)),ROW($M$164)-ROW($M131)-1,MATCH(N$13,OFFSET($M131,1,0,ROW($M$164)-ROW($M131)-1),0)-1),0))</f>
        <v>0</v>
      </c>
      <c r="O131" s="193">
        <f ca="1">IF($F132=-1,0,IF(O$13&lt;=$M131,IF(ISERROR(MATCH(O$13,OFFSET($M131,1,0,ROW($M$164)-ROW($M131)-1),0)),ROW($M$164)-ROW($M131)-1,MATCH(O$13,OFFSET($M131,1,0,ROW($M$164)-ROW($M131)-1),0)-1),0))</f>
        <v>0</v>
      </c>
      <c r="P131" s="193">
        <f ca="1">IF($F132=-1,0,IF(P$13&lt;=$M131,IF(ISERROR(MATCH(P$13,OFFSET($M131,1,0,ROW($M$164)-ROW($M131)-1),0)),ROW($M$164)-ROW($M131)-1,MATCH(P$13,OFFSET($M131,1,0,ROW($M$164)-ROW($M131)-1),0)-1),0))</f>
        <v>0</v>
      </c>
      <c r="Q131" s="193">
        <f ca="1">IF($F132=-1,0,IF(Q$13&lt;=$M131,IF(ISERROR(MATCH(Q$13,OFFSET($M131,1,0,ROW($M$164)-ROW($M131)-1),0)),ROW($M$164)-ROW($M131)-1,MATCH(Q$13,OFFSET($M131,1,0,ROW($M$164)-ROW($M131)-1),0)-1),0))</f>
        <v>0</v>
      </c>
      <c r="R131" s="193">
        <f t="shared" ref="R131" ca="1" si="239">MIN(OFFSET(M131,0,1,,M131))</f>
        <v>0</v>
      </c>
      <c r="S131" s="194" t="str">
        <f ca="1">IF($F132=0,OFFSET(ORÇAMENTO!X$15,$F131,0),IF($F132&lt;&gt;-1,OFFSET(QCI!$O$13,$F132,0),""))</f>
        <v/>
      </c>
      <c r="T131" s="195" t="s">
        <v>785</v>
      </c>
      <c r="U131" s="188" t="e" cm="1">
        <f t="array" aca="1" ref="U131" ca="1">IF(AND($R131=2,ACOMPANHAMENTO="BM"),ROUND(U132,4),U133/$S131)</f>
        <v>#VALUE!</v>
      </c>
      <c r="V131" s="188" t="e" cm="1">
        <f t="array" aca="1" ref="V131" ca="1">IF(AND($R131=2,ACOMPANHAMENTO="BM"),ROUND(V132,4),V133/$S131)</f>
        <v>#VALUE!</v>
      </c>
      <c r="W131" s="188" t="e" cm="1">
        <f t="array" aca="1" ref="W131" ca="1">IF(AND($R131=2,ACOMPANHAMENTO="BM"),ROUND(W132,4),W133/$S131)</f>
        <v>#VALUE!</v>
      </c>
      <c r="X131" s="188" t="e" cm="1">
        <f t="array" aca="1" ref="X131" ca="1">IF(AND($R131=2,ACOMPANHAMENTO="BM"),ROUND(X132,4),X133/$S131)</f>
        <v>#VALUE!</v>
      </c>
      <c r="Y131" s="188" t="e" cm="1">
        <f t="array" aca="1" ref="Y131" ca="1">IF(AND($R131=2,ACOMPANHAMENTO="BM"),ROUND(Y132,4),Y133/$S131)</f>
        <v>#VALUE!</v>
      </c>
      <c r="Z131" s="188" t="e" cm="1">
        <f t="array" aca="1" ref="Z131" ca="1">IF(AND($R131=2,ACOMPANHAMENTO="BM"),ROUND(Z132,4),Z133/$S131)</f>
        <v>#VALUE!</v>
      </c>
      <c r="AA131" s="188" t="e" cm="1">
        <f t="array" aca="1" ref="AA131" ca="1">IF(AND($R131=2,ACOMPANHAMENTO="BM"),ROUND(AA132,4),AA133/$S131)</f>
        <v>#VALUE!</v>
      </c>
      <c r="AB131" s="188" t="e" cm="1">
        <f t="array" aca="1" ref="AB131" ca="1">IF(AND($R131=2,ACOMPANHAMENTO="BM"),ROUND(AB132,4),AB133/$S131)</f>
        <v>#VALUE!</v>
      </c>
      <c r="AC131" s="188" t="e" cm="1">
        <f t="array" aca="1" ref="AC131" ca="1">IF(AND($R131=2,ACOMPANHAMENTO="BM"),ROUND(AC132,4),AC133/$S131)</f>
        <v>#VALUE!</v>
      </c>
      <c r="AD131" s="188" t="e" cm="1">
        <f t="array" aca="1" ref="AD131" ca="1">IF(AND($R131=2,ACOMPANHAMENTO="BM"),ROUND(AD132,4),AD133/$S131)</f>
        <v>#VALUE!</v>
      </c>
      <c r="AE131" s="188" t="e" cm="1">
        <f t="array" aca="1" ref="AE131" ca="1">IF(AND($R131=2,ACOMPANHAMENTO="BM"),ROUND(AE132,4),AE133/$S131)</f>
        <v>#VALUE!</v>
      </c>
      <c r="AF131" s="188" t="e" cm="1">
        <f t="array" aca="1" ref="AF131" ca="1">IF(AND($R131=2,ACOMPANHAMENTO="BM"),ROUND(AF132,4),AF133/$S131)</f>
        <v>#VALUE!</v>
      </c>
      <c r="AG131" s="534"/>
    </row>
    <row r="132" spans="1:33" ht="12.75" customHeight="1" x14ac:dyDescent="0.2">
      <c r="E132" s="587"/>
      <c r="F132" s="185">
        <f ca="1">IF(ISERROR(F131),IF(1+COUNTIF($M$13:OFFSET(M131,-1,0),1)&lt;=MAX(QCI!$D$13:$D$24),1+COUNTIF($M$13:OFFSET(M131,-1,0),1),-1),0)</f>
        <v>-1</v>
      </c>
      <c r="G132" s="185" t="str" cm="1">
        <f t="array" aca="1" ref="G132" ca="1">IF(ACOMPANHAMENTO="BM",OFFSET(G132,-1,0),"")</f>
        <v/>
      </c>
      <c r="H132" s="196" t="str" cm="1">
        <f t="array" aca="1" ref="H132" ca="1">IF(OR(S131=0,S131=""),"vazia",IF(AND(OR(ACOMPANHAMENTO="PLE",$R131&lt;&gt;2),$F132=0),"calculada","--&gt;"))</f>
        <v>vazia</v>
      </c>
      <c r="I132" s="197"/>
      <c r="J132" s="198" t="str">
        <f t="shared" ref="J132" ca="1" si="240">IF(AND(H131&lt;&gt;0,ISNUMBER(H131)),"PREENCHA ESTA LINHA --&gt;","")</f>
        <v/>
      </c>
      <c r="K132" s="198"/>
      <c r="L132" s="198"/>
      <c r="M132" s="199"/>
      <c r="N132" s="199"/>
      <c r="O132" s="199"/>
      <c r="P132" s="199"/>
      <c r="Q132" s="199"/>
      <c r="R132" s="199"/>
      <c r="S132" s="200"/>
      <c r="T132" s="201"/>
      <c r="U132" s="587"/>
      <c r="V132" s="587"/>
      <c r="W132" s="587"/>
      <c r="X132" s="587"/>
      <c r="Y132" s="587"/>
      <c r="Z132" s="587"/>
      <c r="AA132" s="587"/>
      <c r="AB132" s="587"/>
      <c r="AC132" s="587"/>
      <c r="AD132" s="587"/>
      <c r="AE132" s="587"/>
      <c r="AF132" s="587"/>
      <c r="AG132" s="534"/>
    </row>
    <row r="133" spans="1:33" ht="12.75" customHeight="1" x14ac:dyDescent="0.2">
      <c r="D133" s="533"/>
      <c r="E133" s="202" cm="1">
        <f t="array" aca="1" ref="E133" ca="1">IF($R131=2,
         IF(AND(ACOMPANHAMENTO="PLE",ISNUMBER($F131)),
                SUMIF((OFFSET(CÁLCULO!$AM$15:$AW$15,$F131,0,OFFSET(ORÇAMENTO!$D$15,CRONO!$F131,0))),CRONO!E$12,OFFSET(CÁLCULO!$AB$15:$AL$15,$F131,0,OFFSET(ORÇAMENTO!$D$15,CRONO!$F131,0)))
                +IF(AND($F133&lt;&gt;"",$F133&lt;&gt;0),
                        SUMIF(CÁLCULO!$AM$15:$AW$44,CRONO!E$12,CÁLCULO!$AB$15:$AL$44)/(ORÇAMENTO!$X$15-CÁLCULO.TotalAdmLocal)*CRONO!$F133,
                        0),
                 E132*$S131),
          SUMIF(OFFSET($S133,1,0,$R131-2),($M131+1)&amp;"$",OFFSET(E133,1,0,$R131-2)))</f>
        <v>0</v>
      </c>
      <c r="F133" s="185" t="str">
        <f ca="1">IF(OR($R131&lt;&gt;2,AUTOEVENTO&lt;&gt;"manual",$F132&gt;0),"",
        IF(Import.TipoArredondamento="Tradicional",
              SUMIF(OFFSET(CÁLCULO!$M$15,CRONO!$F131,0,OFFSET(ORÇAMENTO!$D$15,CRONO!$F131,0)),1,OFFSET(ORÇAMENTO!$X$15,CRONO!$F131,0,OFFSET(ORÇAMENTO!$D$15,CRONO!$F131,0))),
              0))</f>
        <v/>
      </c>
      <c r="H133" s="203"/>
      <c r="S133" s="204" t="str">
        <f t="shared" ref="S133" ca="1" si="241">M131&amp;"$"</f>
        <v>1$</v>
      </c>
      <c r="T133" s="205"/>
      <c r="U133" s="202" cm="1">
        <f t="array" aca="1" ref="U133" ca="1">IF($R131=2,
         IF(AND(ACOMPANHAMENTO="PLE",ISNUMBER($F131)),
                SUMIF((OFFSET(CÁLCULO!$AM$15:$AW$15,$F131,0,OFFSET(ORÇAMENTO!$D$15,CRONO!$F131,0))),CRONO!U$12,OFFSET(CÁLCULO!$AB$15:$AL$15,$F131,0,OFFSET(ORÇAMENTO!$D$15,CRONO!$F131,0)))
                +IF(AND($F133&lt;&gt;"",$F133&lt;&gt;0),
                        SUMIF(CÁLCULO!$AM$15:$AW$44,CRONO!U$12,CÁLCULO!$AB$15:$AL$44)/(ORÇAMENTO!$X$15-CÁLCULO.TotalAdmLocal)*CRONO!$F133,
                        0),
                 U132*$S131),
          SUMIF(OFFSET($S133,1,0,$R131-2),($M131+1)&amp;"$",OFFSET(U133,1,0,$R131-2)))</f>
        <v>0</v>
      </c>
      <c r="V133" s="202" cm="1">
        <f t="array" aca="1" ref="V133" ca="1">IF($R131=2,
         IF(AND(ACOMPANHAMENTO="PLE",ISNUMBER($F131)),
                SUMIF((OFFSET(CÁLCULO!$AM$15:$AW$15,$F131,0,OFFSET(ORÇAMENTO!$D$15,CRONO!$F131,0))),CRONO!V$12,OFFSET(CÁLCULO!$AB$15:$AL$15,$F131,0,OFFSET(ORÇAMENTO!$D$15,CRONO!$F131,0)))
                +IF(AND($F133&lt;&gt;"",$F133&lt;&gt;0),
                        SUMIF(CÁLCULO!$AM$15:$AW$44,CRONO!V$12,CÁLCULO!$AB$15:$AL$44)/(ORÇAMENTO!$X$15-CÁLCULO.TotalAdmLocal)*CRONO!$F133,
                        0),
                 V132*$S131),
          SUMIF(OFFSET($S133,1,0,$R131-2),($M131+1)&amp;"$",OFFSET(V133,1,0,$R131-2)))</f>
        <v>0</v>
      </c>
      <c r="W133" s="202" cm="1">
        <f t="array" aca="1" ref="W133" ca="1">IF($R131=2,
         IF(AND(ACOMPANHAMENTO="PLE",ISNUMBER($F131)),
                SUMIF((OFFSET(CÁLCULO!$AM$15:$AW$15,$F131,0,OFFSET(ORÇAMENTO!$D$15,CRONO!$F131,0))),CRONO!W$12,OFFSET(CÁLCULO!$AB$15:$AL$15,$F131,0,OFFSET(ORÇAMENTO!$D$15,CRONO!$F131,0)))
                +IF(AND($F133&lt;&gt;"",$F133&lt;&gt;0),
                        SUMIF(CÁLCULO!$AM$15:$AW$44,CRONO!W$12,CÁLCULO!$AB$15:$AL$44)/(ORÇAMENTO!$X$15-CÁLCULO.TotalAdmLocal)*CRONO!$F133,
                        0),
                 W132*$S131),
          SUMIF(OFFSET($S133,1,0,$R131-2),($M131+1)&amp;"$",OFFSET(W133,1,0,$R131-2)))</f>
        <v>0</v>
      </c>
      <c r="X133" s="202" cm="1">
        <f t="array" aca="1" ref="X133" ca="1">IF($R131=2,
         IF(AND(ACOMPANHAMENTO="PLE",ISNUMBER($F131)),
                SUMIF((OFFSET(CÁLCULO!$AM$15:$AW$15,$F131,0,OFFSET(ORÇAMENTO!$D$15,CRONO!$F131,0))),CRONO!X$12,OFFSET(CÁLCULO!$AB$15:$AL$15,$F131,0,OFFSET(ORÇAMENTO!$D$15,CRONO!$F131,0)))
                +IF(AND($F133&lt;&gt;"",$F133&lt;&gt;0),
                        SUMIF(CÁLCULO!$AM$15:$AW$44,CRONO!X$12,CÁLCULO!$AB$15:$AL$44)/(ORÇAMENTO!$X$15-CÁLCULO.TotalAdmLocal)*CRONO!$F133,
                        0),
                 X132*$S131),
          SUMIF(OFFSET($S133,1,0,$R131-2),($M131+1)&amp;"$",OFFSET(X133,1,0,$R131-2)))</f>
        <v>0</v>
      </c>
      <c r="Y133" s="202" cm="1">
        <f t="array" aca="1" ref="Y133" ca="1">IF($R131=2,
         IF(AND(ACOMPANHAMENTO="PLE",ISNUMBER($F131)),
                SUMIF((OFFSET(CÁLCULO!$AM$15:$AW$15,$F131,0,OFFSET(ORÇAMENTO!$D$15,CRONO!$F131,0))),CRONO!Y$12,OFFSET(CÁLCULO!$AB$15:$AL$15,$F131,0,OFFSET(ORÇAMENTO!$D$15,CRONO!$F131,0)))
                +IF(AND($F133&lt;&gt;"",$F133&lt;&gt;0),
                        SUMIF(CÁLCULO!$AM$15:$AW$44,CRONO!Y$12,CÁLCULO!$AB$15:$AL$44)/(ORÇAMENTO!$X$15-CÁLCULO.TotalAdmLocal)*CRONO!$F133,
                        0),
                 Y132*$S131),
          SUMIF(OFFSET($S133,1,0,$R131-2),($M131+1)&amp;"$",OFFSET(Y133,1,0,$R131-2)))</f>
        <v>0</v>
      </c>
      <c r="Z133" s="202" cm="1">
        <f t="array" aca="1" ref="Z133" ca="1">IF($R131=2,
         IF(AND(ACOMPANHAMENTO="PLE",ISNUMBER($F131)),
                SUMIF((OFFSET(CÁLCULO!$AM$15:$AW$15,$F131,0,OFFSET(ORÇAMENTO!$D$15,CRONO!$F131,0))),CRONO!Z$12,OFFSET(CÁLCULO!$AB$15:$AL$15,$F131,0,OFFSET(ORÇAMENTO!$D$15,CRONO!$F131,0)))
                +IF(AND($F133&lt;&gt;"",$F133&lt;&gt;0),
                        SUMIF(CÁLCULO!$AM$15:$AW$44,CRONO!Z$12,CÁLCULO!$AB$15:$AL$44)/(ORÇAMENTO!$X$15-CÁLCULO.TotalAdmLocal)*CRONO!$F133,
                        0),
                 Z132*$S131),
          SUMIF(OFFSET($S133,1,0,$R131-2),($M131+1)&amp;"$",OFFSET(Z133,1,0,$R131-2)))</f>
        <v>0</v>
      </c>
      <c r="AA133" s="202" cm="1">
        <f t="array" aca="1" ref="AA133" ca="1">IF($R131=2,
         IF(AND(ACOMPANHAMENTO="PLE",ISNUMBER($F131)),
                SUMIF((OFFSET(CÁLCULO!$AM$15:$AW$15,$F131,0,OFFSET(ORÇAMENTO!$D$15,CRONO!$F131,0))),CRONO!AA$12,OFFSET(CÁLCULO!$AB$15:$AL$15,$F131,0,OFFSET(ORÇAMENTO!$D$15,CRONO!$F131,0)))
                +IF(AND($F133&lt;&gt;"",$F133&lt;&gt;0),
                        SUMIF(CÁLCULO!$AM$15:$AW$44,CRONO!AA$12,CÁLCULO!$AB$15:$AL$44)/(ORÇAMENTO!$X$15-CÁLCULO.TotalAdmLocal)*CRONO!$F133,
                        0),
                 AA132*$S131),
          SUMIF(OFFSET($S133,1,0,$R131-2),($M131+1)&amp;"$",OFFSET(AA133,1,0,$R131-2)))</f>
        <v>0</v>
      </c>
      <c r="AB133" s="202" cm="1">
        <f t="array" aca="1" ref="AB133" ca="1">IF($R131=2,
         IF(AND(ACOMPANHAMENTO="PLE",ISNUMBER($F131)),
                SUMIF((OFFSET(CÁLCULO!$AM$15:$AW$15,$F131,0,OFFSET(ORÇAMENTO!$D$15,CRONO!$F131,0))),CRONO!AB$12,OFFSET(CÁLCULO!$AB$15:$AL$15,$F131,0,OFFSET(ORÇAMENTO!$D$15,CRONO!$F131,0)))
                +IF(AND($F133&lt;&gt;"",$F133&lt;&gt;0),
                        SUMIF(CÁLCULO!$AM$15:$AW$44,CRONO!AB$12,CÁLCULO!$AB$15:$AL$44)/(ORÇAMENTO!$X$15-CÁLCULO.TotalAdmLocal)*CRONO!$F133,
                        0),
                 AB132*$S131),
          SUMIF(OFFSET($S133,1,0,$R131-2),($M131+1)&amp;"$",OFFSET(AB133,1,0,$R131-2)))</f>
        <v>0</v>
      </c>
      <c r="AC133" s="202" cm="1">
        <f t="array" aca="1" ref="AC133" ca="1">IF($R131=2,
         IF(AND(ACOMPANHAMENTO="PLE",ISNUMBER($F131)),
                SUMIF((OFFSET(CÁLCULO!$AM$15:$AW$15,$F131,0,OFFSET(ORÇAMENTO!$D$15,CRONO!$F131,0))),CRONO!AC$12,OFFSET(CÁLCULO!$AB$15:$AL$15,$F131,0,OFFSET(ORÇAMENTO!$D$15,CRONO!$F131,0)))
                +IF(AND($F133&lt;&gt;"",$F133&lt;&gt;0),
                        SUMIF(CÁLCULO!$AM$15:$AW$44,CRONO!AC$12,CÁLCULO!$AB$15:$AL$44)/(ORÇAMENTO!$X$15-CÁLCULO.TotalAdmLocal)*CRONO!$F133,
                        0),
                 AC132*$S131),
          SUMIF(OFFSET($S133,1,0,$R131-2),($M131+1)&amp;"$",OFFSET(AC133,1,0,$R131-2)))</f>
        <v>0</v>
      </c>
      <c r="AD133" s="202" cm="1">
        <f t="array" aca="1" ref="AD133" ca="1">IF($R131=2,
         IF(AND(ACOMPANHAMENTO="PLE",ISNUMBER($F131)),
                SUMIF((OFFSET(CÁLCULO!$AM$15:$AW$15,$F131,0,OFFSET(ORÇAMENTO!$D$15,CRONO!$F131,0))),CRONO!AD$12,OFFSET(CÁLCULO!$AB$15:$AL$15,$F131,0,OFFSET(ORÇAMENTO!$D$15,CRONO!$F131,0)))
                +IF(AND($F133&lt;&gt;"",$F133&lt;&gt;0),
                        SUMIF(CÁLCULO!$AM$15:$AW$44,CRONO!AD$12,CÁLCULO!$AB$15:$AL$44)/(ORÇAMENTO!$X$15-CÁLCULO.TotalAdmLocal)*CRONO!$F133,
                        0),
                 AD132*$S131),
          SUMIF(OFFSET($S133,1,0,$R131-2),($M131+1)&amp;"$",OFFSET(AD133,1,0,$R131-2)))</f>
        <v>0</v>
      </c>
      <c r="AE133" s="202" cm="1">
        <f t="array" aca="1" ref="AE133" ca="1">IF($R131=2,
         IF(AND(ACOMPANHAMENTO="PLE",ISNUMBER($F131)),
                SUMIF((OFFSET(CÁLCULO!$AM$15:$AW$15,$F131,0,OFFSET(ORÇAMENTO!$D$15,CRONO!$F131,0))),CRONO!AE$12,OFFSET(CÁLCULO!$AB$15:$AL$15,$F131,0,OFFSET(ORÇAMENTO!$D$15,CRONO!$F131,0)))
                +IF(AND($F133&lt;&gt;"",$F133&lt;&gt;0),
                        SUMIF(CÁLCULO!$AM$15:$AW$44,CRONO!AE$12,CÁLCULO!$AB$15:$AL$44)/(ORÇAMENTO!$X$15-CÁLCULO.TotalAdmLocal)*CRONO!$F133,
                        0),
                 AE132*$S131),
          SUMIF(OFFSET($S133,1,0,$R131-2),($M131+1)&amp;"$",OFFSET(AE133,1,0,$R131-2)))</f>
        <v>0</v>
      </c>
      <c r="AF133" s="202" cm="1">
        <f t="array" aca="1" ref="AF133" ca="1">IF($R131=2,
         IF(AND(ACOMPANHAMENTO="PLE",ISNUMBER($F131)),
                SUMIF((OFFSET(CÁLCULO!$AM$15:$AW$15,$F131,0,OFFSET(ORÇAMENTO!$D$15,CRONO!$F131,0))),CRONO!AF$12,OFFSET(CÁLCULO!$AB$15:$AL$15,$F131,0,OFFSET(ORÇAMENTO!$D$15,CRONO!$F131,0)))
                +IF(AND($F133&lt;&gt;"",$F133&lt;&gt;0),
                        SUMIF(CÁLCULO!$AM$15:$AW$44,CRONO!AF$12,CÁLCULO!$AB$15:$AL$44)/(ORÇAMENTO!$X$15-CÁLCULO.TotalAdmLocal)*CRONO!$F133,
                        0),
                 AF132*$S131),
          SUMIF(OFFSET($S133,1,0,$R131-2),($M131+1)&amp;"$",OFFSET(AF133,1,0,$R131-2)))</f>
        <v>0</v>
      </c>
      <c r="AG133" s="534"/>
    </row>
    <row r="134" spans="1:33" x14ac:dyDescent="0.2">
      <c r="A134" s="186" t="str">
        <f t="shared" ref="A134" ca="1" si="242">IF($M134&gt;1,_xlfn.CONCAT($I134," ",$J134),"")</f>
        <v/>
      </c>
      <c r="B134" s="185">
        <f t="shared" ref="B134" ca="1" si="243">OFFSET(B134,-3,0)+1</f>
        <v>41</v>
      </c>
      <c r="C134" s="185">
        <f ca="1">IF($R134&lt;&gt;2,0,IF($S134=0,1,IF(F135&gt;0,OFFSET(QCI!$M$13,SUBSTITUTE(F135,".",""),0),OFFSET(ORÇAMENTO!$AA$15,CRONO!$F134,0))/$S134))</f>
        <v>0</v>
      </c>
      <c r="D134" s="185">
        <f ca="1">IF($R134&lt;&gt;2,0,IF($S134=0,1,IF(F135&gt;0,OFFSET(QCI!$N$13,SUBSTITUTE(F135,".",""),0),OFFSET(ORÇAMENTO!$AB$15,CRONO!$F134,0))/$S134))</f>
        <v>0</v>
      </c>
      <c r="E134" s="188" t="e" cm="1">
        <f t="array" aca="1" ref="E134" ca="1">IF(AND($R134=2,ACOMPANHAMENTO="BM"),ROUND(E135,4),E136/$S134)</f>
        <v>#VALUE!</v>
      </c>
      <c r="F134" s="185" t="e" cm="1">
        <f t="array" aca="1" ref="F134" ca="1">IF(B134&lt;=ORÇAMENTO.MáximoListaCrono,MATCH(B134,ORÇAMENTO.ListaCrono,0),NA())</f>
        <v>#N/A</v>
      </c>
      <c r="G134" s="185" t="str">
        <f t="shared" ref="G134" ca="1" si="244">IF(AND($F135&lt;&gt;-1,$S134&gt;0),"F","")</f>
        <v/>
      </c>
      <c r="H134" s="189" t="str" cm="1">
        <f t="array" aca="1" ref="H134" ca="1">IF(OR(S134=0,S134=""),"Linha",IF(AND(OR(ACOMPANHAMENTO="PLE",$R134&lt;&gt;2),$F135=0),"Linha",ROUND(1-SUM(U134:AG134),4)))</f>
        <v>Linha</v>
      </c>
      <c r="I134" s="190" t="str">
        <f ca="1">IF($F135=0,OFFSET(ORÇAMENTO!O$15,$F134,0),IF($F135&lt;&gt;-1,OFFSET(QCI!$D$13,$F135,0),""))</f>
        <v/>
      </c>
      <c r="J134" s="191" t="str">
        <f ca="1">IF($F135=0,OFFSET(ORÇAMENTO!R$15,$F134,0),IF($F135&lt;&gt;-1,OFFSET(QCI!$G$13,$F135,0),""))</f>
        <v/>
      </c>
      <c r="K134" s="191"/>
      <c r="L134" s="191"/>
      <c r="M134" s="192">
        <f ca="1">IF($F135=0,OFFSET(ORÇAMENTO!C$15,$F134,0),1)</f>
        <v>1</v>
      </c>
      <c r="N134" s="193">
        <f ca="1">IF($F135=-1,0,IF(N$13&lt;=$M134,IF(ISERROR(MATCH(N$13,OFFSET($M134,1,0,ROW($M$164)-ROW($M134)-1),0)),ROW($M$164)-ROW($M134)-1,MATCH(N$13,OFFSET($M134,1,0,ROW($M$164)-ROW($M134)-1),0)-1),0))</f>
        <v>0</v>
      </c>
      <c r="O134" s="193">
        <f ca="1">IF($F135=-1,0,IF(O$13&lt;=$M134,IF(ISERROR(MATCH(O$13,OFFSET($M134,1,0,ROW($M$164)-ROW($M134)-1),0)),ROW($M$164)-ROW($M134)-1,MATCH(O$13,OFFSET($M134,1,0,ROW($M$164)-ROW($M134)-1),0)-1),0))</f>
        <v>0</v>
      </c>
      <c r="P134" s="193">
        <f ca="1">IF($F135=-1,0,IF(P$13&lt;=$M134,IF(ISERROR(MATCH(P$13,OFFSET($M134,1,0,ROW($M$164)-ROW($M134)-1),0)),ROW($M$164)-ROW($M134)-1,MATCH(P$13,OFFSET($M134,1,0,ROW($M$164)-ROW($M134)-1),0)-1),0))</f>
        <v>0</v>
      </c>
      <c r="Q134" s="193">
        <f ca="1">IF($F135=-1,0,IF(Q$13&lt;=$M134,IF(ISERROR(MATCH(Q$13,OFFSET($M134,1,0,ROW($M$164)-ROW($M134)-1),0)),ROW($M$164)-ROW($M134)-1,MATCH(Q$13,OFFSET($M134,1,0,ROW($M$164)-ROW($M134)-1),0)-1),0))</f>
        <v>0</v>
      </c>
      <c r="R134" s="193">
        <f t="shared" ref="R134" ca="1" si="245">MIN(OFFSET(M134,0,1,,M134))</f>
        <v>0</v>
      </c>
      <c r="S134" s="194" t="str">
        <f ca="1">IF($F135=0,OFFSET(ORÇAMENTO!X$15,$F134,0),IF($F135&lt;&gt;-1,OFFSET(QCI!$O$13,$F135,0),""))</f>
        <v/>
      </c>
      <c r="T134" s="195" t="s">
        <v>785</v>
      </c>
      <c r="U134" s="188" t="e" cm="1">
        <f t="array" aca="1" ref="U134" ca="1">IF(AND($R134=2,ACOMPANHAMENTO="BM"),ROUND(U135,4),U136/$S134)</f>
        <v>#VALUE!</v>
      </c>
      <c r="V134" s="188" t="e" cm="1">
        <f t="array" aca="1" ref="V134" ca="1">IF(AND($R134=2,ACOMPANHAMENTO="BM"),ROUND(V135,4),V136/$S134)</f>
        <v>#VALUE!</v>
      </c>
      <c r="W134" s="188" t="e" cm="1">
        <f t="array" aca="1" ref="W134" ca="1">IF(AND($R134=2,ACOMPANHAMENTO="BM"),ROUND(W135,4),W136/$S134)</f>
        <v>#VALUE!</v>
      </c>
      <c r="X134" s="188" t="e" cm="1">
        <f t="array" aca="1" ref="X134" ca="1">IF(AND($R134=2,ACOMPANHAMENTO="BM"),ROUND(X135,4),X136/$S134)</f>
        <v>#VALUE!</v>
      </c>
      <c r="Y134" s="188" t="e" cm="1">
        <f t="array" aca="1" ref="Y134" ca="1">IF(AND($R134=2,ACOMPANHAMENTO="BM"),ROUND(Y135,4),Y136/$S134)</f>
        <v>#VALUE!</v>
      </c>
      <c r="Z134" s="188" t="e" cm="1">
        <f t="array" aca="1" ref="Z134" ca="1">IF(AND($R134=2,ACOMPANHAMENTO="BM"),ROUND(Z135,4),Z136/$S134)</f>
        <v>#VALUE!</v>
      </c>
      <c r="AA134" s="188" t="e" cm="1">
        <f t="array" aca="1" ref="AA134" ca="1">IF(AND($R134=2,ACOMPANHAMENTO="BM"),ROUND(AA135,4),AA136/$S134)</f>
        <v>#VALUE!</v>
      </c>
      <c r="AB134" s="188" t="e" cm="1">
        <f t="array" aca="1" ref="AB134" ca="1">IF(AND($R134=2,ACOMPANHAMENTO="BM"),ROUND(AB135,4),AB136/$S134)</f>
        <v>#VALUE!</v>
      </c>
      <c r="AC134" s="188" t="e" cm="1">
        <f t="array" aca="1" ref="AC134" ca="1">IF(AND($R134=2,ACOMPANHAMENTO="BM"),ROUND(AC135,4),AC136/$S134)</f>
        <v>#VALUE!</v>
      </c>
      <c r="AD134" s="188" t="e" cm="1">
        <f t="array" aca="1" ref="AD134" ca="1">IF(AND($R134=2,ACOMPANHAMENTO="BM"),ROUND(AD135,4),AD136/$S134)</f>
        <v>#VALUE!</v>
      </c>
      <c r="AE134" s="188" t="e" cm="1">
        <f t="array" aca="1" ref="AE134" ca="1">IF(AND($R134=2,ACOMPANHAMENTO="BM"),ROUND(AE135,4),AE136/$S134)</f>
        <v>#VALUE!</v>
      </c>
      <c r="AF134" s="188" t="e" cm="1">
        <f t="array" aca="1" ref="AF134" ca="1">IF(AND($R134=2,ACOMPANHAMENTO="BM"),ROUND(AF135,4),AF136/$S134)</f>
        <v>#VALUE!</v>
      </c>
      <c r="AG134" s="534"/>
    </row>
    <row r="135" spans="1:33" ht="12.75" customHeight="1" x14ac:dyDescent="0.2">
      <c r="E135" s="587"/>
      <c r="F135" s="185">
        <f ca="1">IF(ISERROR(F134),IF(1+COUNTIF($M$13:OFFSET(M134,-1,0),1)&lt;=MAX(QCI!$D$13:$D$24),1+COUNTIF($M$13:OFFSET(M134,-1,0),1),-1),0)</f>
        <v>-1</v>
      </c>
      <c r="G135" s="185" t="str" cm="1">
        <f t="array" aca="1" ref="G135" ca="1">IF(ACOMPANHAMENTO="BM",OFFSET(G135,-1,0),"")</f>
        <v/>
      </c>
      <c r="H135" s="196" t="str" cm="1">
        <f t="array" aca="1" ref="H135" ca="1">IF(OR(S134=0,S134=""),"vazia",IF(AND(OR(ACOMPANHAMENTO="PLE",$R134&lt;&gt;2),$F135=0),"calculada","--&gt;"))</f>
        <v>vazia</v>
      </c>
      <c r="I135" s="197"/>
      <c r="J135" s="198" t="str">
        <f t="shared" ref="J135" ca="1" si="246">IF(AND(H134&lt;&gt;0,ISNUMBER(H134)),"PREENCHA ESTA LINHA --&gt;","")</f>
        <v/>
      </c>
      <c r="K135" s="198"/>
      <c r="L135" s="198"/>
      <c r="M135" s="199"/>
      <c r="N135" s="199"/>
      <c r="O135" s="199"/>
      <c r="P135" s="199"/>
      <c r="Q135" s="199"/>
      <c r="R135" s="199"/>
      <c r="S135" s="200"/>
      <c r="T135" s="201"/>
      <c r="U135" s="587"/>
      <c r="V135" s="587"/>
      <c r="W135" s="587"/>
      <c r="X135" s="587"/>
      <c r="Y135" s="587"/>
      <c r="Z135" s="587"/>
      <c r="AA135" s="587"/>
      <c r="AB135" s="587"/>
      <c r="AC135" s="587"/>
      <c r="AD135" s="587"/>
      <c r="AE135" s="587"/>
      <c r="AF135" s="587"/>
      <c r="AG135" s="534"/>
    </row>
    <row r="136" spans="1:33" ht="12.75" customHeight="1" x14ac:dyDescent="0.2">
      <c r="D136" s="533"/>
      <c r="E136" s="202" cm="1">
        <f t="array" aca="1" ref="E136" ca="1">IF($R134=2,
         IF(AND(ACOMPANHAMENTO="PLE",ISNUMBER($F134)),
                SUMIF((OFFSET(CÁLCULO!$AM$15:$AW$15,$F134,0,OFFSET(ORÇAMENTO!$D$15,CRONO!$F134,0))),CRONO!E$12,OFFSET(CÁLCULO!$AB$15:$AL$15,$F134,0,OFFSET(ORÇAMENTO!$D$15,CRONO!$F134,0)))
                +IF(AND($F136&lt;&gt;"",$F136&lt;&gt;0),
                        SUMIF(CÁLCULO!$AM$15:$AW$44,CRONO!E$12,CÁLCULO!$AB$15:$AL$44)/(ORÇAMENTO!$X$15-CÁLCULO.TotalAdmLocal)*CRONO!$F136,
                        0),
                 E135*$S134),
          SUMIF(OFFSET($S136,1,0,$R134-2),($M134+1)&amp;"$",OFFSET(E136,1,0,$R134-2)))</f>
        <v>0</v>
      </c>
      <c r="F136" s="185" t="str">
        <f ca="1">IF(OR($R134&lt;&gt;2,AUTOEVENTO&lt;&gt;"manual",$F135&gt;0),"",
        IF(Import.TipoArredondamento="Tradicional",
              SUMIF(OFFSET(CÁLCULO!$M$15,CRONO!$F134,0,OFFSET(ORÇAMENTO!$D$15,CRONO!$F134,0)),1,OFFSET(ORÇAMENTO!$X$15,CRONO!$F134,0,OFFSET(ORÇAMENTO!$D$15,CRONO!$F134,0))),
              0))</f>
        <v/>
      </c>
      <c r="H136" s="203"/>
      <c r="S136" s="204" t="str">
        <f t="shared" ref="S136" ca="1" si="247">M134&amp;"$"</f>
        <v>1$</v>
      </c>
      <c r="T136" s="205"/>
      <c r="U136" s="202" cm="1">
        <f t="array" aca="1" ref="U136" ca="1">IF($R134=2,
         IF(AND(ACOMPANHAMENTO="PLE",ISNUMBER($F134)),
                SUMIF((OFFSET(CÁLCULO!$AM$15:$AW$15,$F134,0,OFFSET(ORÇAMENTO!$D$15,CRONO!$F134,0))),CRONO!U$12,OFFSET(CÁLCULO!$AB$15:$AL$15,$F134,0,OFFSET(ORÇAMENTO!$D$15,CRONO!$F134,0)))
                +IF(AND($F136&lt;&gt;"",$F136&lt;&gt;0),
                        SUMIF(CÁLCULO!$AM$15:$AW$44,CRONO!U$12,CÁLCULO!$AB$15:$AL$44)/(ORÇAMENTO!$X$15-CÁLCULO.TotalAdmLocal)*CRONO!$F136,
                        0),
                 U135*$S134),
          SUMIF(OFFSET($S136,1,0,$R134-2),($M134+1)&amp;"$",OFFSET(U136,1,0,$R134-2)))</f>
        <v>0</v>
      </c>
      <c r="V136" s="202" cm="1">
        <f t="array" aca="1" ref="V136" ca="1">IF($R134=2,
         IF(AND(ACOMPANHAMENTO="PLE",ISNUMBER($F134)),
                SUMIF((OFFSET(CÁLCULO!$AM$15:$AW$15,$F134,0,OFFSET(ORÇAMENTO!$D$15,CRONO!$F134,0))),CRONO!V$12,OFFSET(CÁLCULO!$AB$15:$AL$15,$F134,0,OFFSET(ORÇAMENTO!$D$15,CRONO!$F134,0)))
                +IF(AND($F136&lt;&gt;"",$F136&lt;&gt;0),
                        SUMIF(CÁLCULO!$AM$15:$AW$44,CRONO!V$12,CÁLCULO!$AB$15:$AL$44)/(ORÇAMENTO!$X$15-CÁLCULO.TotalAdmLocal)*CRONO!$F136,
                        0),
                 V135*$S134),
          SUMIF(OFFSET($S136,1,0,$R134-2),($M134+1)&amp;"$",OFFSET(V136,1,0,$R134-2)))</f>
        <v>0</v>
      </c>
      <c r="W136" s="202" cm="1">
        <f t="array" aca="1" ref="W136" ca="1">IF($R134=2,
         IF(AND(ACOMPANHAMENTO="PLE",ISNUMBER($F134)),
                SUMIF((OFFSET(CÁLCULO!$AM$15:$AW$15,$F134,0,OFFSET(ORÇAMENTO!$D$15,CRONO!$F134,0))),CRONO!W$12,OFFSET(CÁLCULO!$AB$15:$AL$15,$F134,0,OFFSET(ORÇAMENTO!$D$15,CRONO!$F134,0)))
                +IF(AND($F136&lt;&gt;"",$F136&lt;&gt;0),
                        SUMIF(CÁLCULO!$AM$15:$AW$44,CRONO!W$12,CÁLCULO!$AB$15:$AL$44)/(ORÇAMENTO!$X$15-CÁLCULO.TotalAdmLocal)*CRONO!$F136,
                        0),
                 W135*$S134),
          SUMIF(OFFSET($S136,1,0,$R134-2),($M134+1)&amp;"$",OFFSET(W136,1,0,$R134-2)))</f>
        <v>0</v>
      </c>
      <c r="X136" s="202" cm="1">
        <f t="array" aca="1" ref="X136" ca="1">IF($R134=2,
         IF(AND(ACOMPANHAMENTO="PLE",ISNUMBER($F134)),
                SUMIF((OFFSET(CÁLCULO!$AM$15:$AW$15,$F134,0,OFFSET(ORÇAMENTO!$D$15,CRONO!$F134,0))),CRONO!X$12,OFFSET(CÁLCULO!$AB$15:$AL$15,$F134,0,OFFSET(ORÇAMENTO!$D$15,CRONO!$F134,0)))
                +IF(AND($F136&lt;&gt;"",$F136&lt;&gt;0),
                        SUMIF(CÁLCULO!$AM$15:$AW$44,CRONO!X$12,CÁLCULO!$AB$15:$AL$44)/(ORÇAMENTO!$X$15-CÁLCULO.TotalAdmLocal)*CRONO!$F136,
                        0),
                 X135*$S134),
          SUMIF(OFFSET($S136,1,0,$R134-2),($M134+1)&amp;"$",OFFSET(X136,1,0,$R134-2)))</f>
        <v>0</v>
      </c>
      <c r="Y136" s="202" cm="1">
        <f t="array" aca="1" ref="Y136" ca="1">IF($R134=2,
         IF(AND(ACOMPANHAMENTO="PLE",ISNUMBER($F134)),
                SUMIF((OFFSET(CÁLCULO!$AM$15:$AW$15,$F134,0,OFFSET(ORÇAMENTO!$D$15,CRONO!$F134,0))),CRONO!Y$12,OFFSET(CÁLCULO!$AB$15:$AL$15,$F134,0,OFFSET(ORÇAMENTO!$D$15,CRONO!$F134,0)))
                +IF(AND($F136&lt;&gt;"",$F136&lt;&gt;0),
                        SUMIF(CÁLCULO!$AM$15:$AW$44,CRONO!Y$12,CÁLCULO!$AB$15:$AL$44)/(ORÇAMENTO!$X$15-CÁLCULO.TotalAdmLocal)*CRONO!$F136,
                        0),
                 Y135*$S134),
          SUMIF(OFFSET($S136,1,0,$R134-2),($M134+1)&amp;"$",OFFSET(Y136,1,0,$R134-2)))</f>
        <v>0</v>
      </c>
      <c r="Z136" s="202" cm="1">
        <f t="array" aca="1" ref="Z136" ca="1">IF($R134=2,
         IF(AND(ACOMPANHAMENTO="PLE",ISNUMBER($F134)),
                SUMIF((OFFSET(CÁLCULO!$AM$15:$AW$15,$F134,0,OFFSET(ORÇAMENTO!$D$15,CRONO!$F134,0))),CRONO!Z$12,OFFSET(CÁLCULO!$AB$15:$AL$15,$F134,0,OFFSET(ORÇAMENTO!$D$15,CRONO!$F134,0)))
                +IF(AND($F136&lt;&gt;"",$F136&lt;&gt;0),
                        SUMIF(CÁLCULO!$AM$15:$AW$44,CRONO!Z$12,CÁLCULO!$AB$15:$AL$44)/(ORÇAMENTO!$X$15-CÁLCULO.TotalAdmLocal)*CRONO!$F136,
                        0),
                 Z135*$S134),
          SUMIF(OFFSET($S136,1,0,$R134-2),($M134+1)&amp;"$",OFFSET(Z136,1,0,$R134-2)))</f>
        <v>0</v>
      </c>
      <c r="AA136" s="202" cm="1">
        <f t="array" aca="1" ref="AA136" ca="1">IF($R134=2,
         IF(AND(ACOMPANHAMENTO="PLE",ISNUMBER($F134)),
                SUMIF((OFFSET(CÁLCULO!$AM$15:$AW$15,$F134,0,OFFSET(ORÇAMENTO!$D$15,CRONO!$F134,0))),CRONO!AA$12,OFFSET(CÁLCULO!$AB$15:$AL$15,$F134,0,OFFSET(ORÇAMENTO!$D$15,CRONO!$F134,0)))
                +IF(AND($F136&lt;&gt;"",$F136&lt;&gt;0),
                        SUMIF(CÁLCULO!$AM$15:$AW$44,CRONO!AA$12,CÁLCULO!$AB$15:$AL$44)/(ORÇAMENTO!$X$15-CÁLCULO.TotalAdmLocal)*CRONO!$F136,
                        0),
                 AA135*$S134),
          SUMIF(OFFSET($S136,1,0,$R134-2),($M134+1)&amp;"$",OFFSET(AA136,1,0,$R134-2)))</f>
        <v>0</v>
      </c>
      <c r="AB136" s="202" cm="1">
        <f t="array" aca="1" ref="AB136" ca="1">IF($R134=2,
         IF(AND(ACOMPANHAMENTO="PLE",ISNUMBER($F134)),
                SUMIF((OFFSET(CÁLCULO!$AM$15:$AW$15,$F134,0,OFFSET(ORÇAMENTO!$D$15,CRONO!$F134,0))),CRONO!AB$12,OFFSET(CÁLCULO!$AB$15:$AL$15,$F134,0,OFFSET(ORÇAMENTO!$D$15,CRONO!$F134,0)))
                +IF(AND($F136&lt;&gt;"",$F136&lt;&gt;0),
                        SUMIF(CÁLCULO!$AM$15:$AW$44,CRONO!AB$12,CÁLCULO!$AB$15:$AL$44)/(ORÇAMENTO!$X$15-CÁLCULO.TotalAdmLocal)*CRONO!$F136,
                        0),
                 AB135*$S134),
          SUMIF(OFFSET($S136,1,0,$R134-2),($M134+1)&amp;"$",OFFSET(AB136,1,0,$R134-2)))</f>
        <v>0</v>
      </c>
      <c r="AC136" s="202" cm="1">
        <f t="array" aca="1" ref="AC136" ca="1">IF($R134=2,
         IF(AND(ACOMPANHAMENTO="PLE",ISNUMBER($F134)),
                SUMIF((OFFSET(CÁLCULO!$AM$15:$AW$15,$F134,0,OFFSET(ORÇAMENTO!$D$15,CRONO!$F134,0))),CRONO!AC$12,OFFSET(CÁLCULO!$AB$15:$AL$15,$F134,0,OFFSET(ORÇAMENTO!$D$15,CRONO!$F134,0)))
                +IF(AND($F136&lt;&gt;"",$F136&lt;&gt;0),
                        SUMIF(CÁLCULO!$AM$15:$AW$44,CRONO!AC$12,CÁLCULO!$AB$15:$AL$44)/(ORÇAMENTO!$X$15-CÁLCULO.TotalAdmLocal)*CRONO!$F136,
                        0),
                 AC135*$S134),
          SUMIF(OFFSET($S136,1,0,$R134-2),($M134+1)&amp;"$",OFFSET(AC136,1,0,$R134-2)))</f>
        <v>0</v>
      </c>
      <c r="AD136" s="202" cm="1">
        <f t="array" aca="1" ref="AD136" ca="1">IF($R134=2,
         IF(AND(ACOMPANHAMENTO="PLE",ISNUMBER($F134)),
                SUMIF((OFFSET(CÁLCULO!$AM$15:$AW$15,$F134,0,OFFSET(ORÇAMENTO!$D$15,CRONO!$F134,0))),CRONO!AD$12,OFFSET(CÁLCULO!$AB$15:$AL$15,$F134,0,OFFSET(ORÇAMENTO!$D$15,CRONO!$F134,0)))
                +IF(AND($F136&lt;&gt;"",$F136&lt;&gt;0),
                        SUMIF(CÁLCULO!$AM$15:$AW$44,CRONO!AD$12,CÁLCULO!$AB$15:$AL$44)/(ORÇAMENTO!$X$15-CÁLCULO.TotalAdmLocal)*CRONO!$F136,
                        0),
                 AD135*$S134),
          SUMIF(OFFSET($S136,1,0,$R134-2),($M134+1)&amp;"$",OFFSET(AD136,1,0,$R134-2)))</f>
        <v>0</v>
      </c>
      <c r="AE136" s="202" cm="1">
        <f t="array" aca="1" ref="AE136" ca="1">IF($R134=2,
         IF(AND(ACOMPANHAMENTO="PLE",ISNUMBER($F134)),
                SUMIF((OFFSET(CÁLCULO!$AM$15:$AW$15,$F134,0,OFFSET(ORÇAMENTO!$D$15,CRONO!$F134,0))),CRONO!AE$12,OFFSET(CÁLCULO!$AB$15:$AL$15,$F134,0,OFFSET(ORÇAMENTO!$D$15,CRONO!$F134,0)))
                +IF(AND($F136&lt;&gt;"",$F136&lt;&gt;0),
                        SUMIF(CÁLCULO!$AM$15:$AW$44,CRONO!AE$12,CÁLCULO!$AB$15:$AL$44)/(ORÇAMENTO!$X$15-CÁLCULO.TotalAdmLocal)*CRONO!$F136,
                        0),
                 AE135*$S134),
          SUMIF(OFFSET($S136,1,0,$R134-2),($M134+1)&amp;"$",OFFSET(AE136,1,0,$R134-2)))</f>
        <v>0</v>
      </c>
      <c r="AF136" s="202" cm="1">
        <f t="array" aca="1" ref="AF136" ca="1">IF($R134=2,
         IF(AND(ACOMPANHAMENTO="PLE",ISNUMBER($F134)),
                SUMIF((OFFSET(CÁLCULO!$AM$15:$AW$15,$F134,0,OFFSET(ORÇAMENTO!$D$15,CRONO!$F134,0))),CRONO!AF$12,OFFSET(CÁLCULO!$AB$15:$AL$15,$F134,0,OFFSET(ORÇAMENTO!$D$15,CRONO!$F134,0)))
                +IF(AND($F136&lt;&gt;"",$F136&lt;&gt;0),
                        SUMIF(CÁLCULO!$AM$15:$AW$44,CRONO!AF$12,CÁLCULO!$AB$15:$AL$44)/(ORÇAMENTO!$X$15-CÁLCULO.TotalAdmLocal)*CRONO!$F136,
                        0),
                 AF135*$S134),
          SUMIF(OFFSET($S136,1,0,$R134-2),($M134+1)&amp;"$",OFFSET(AF136,1,0,$R134-2)))</f>
        <v>0</v>
      </c>
      <c r="AG136" s="534"/>
    </row>
    <row r="137" spans="1:33" x14ac:dyDescent="0.2">
      <c r="A137" s="186" t="str">
        <f t="shared" ref="A137" ca="1" si="248">IF($M137&gt;1,_xlfn.CONCAT($I137," ",$J137),"")</f>
        <v/>
      </c>
      <c r="B137" s="185">
        <f t="shared" ref="B137" ca="1" si="249">OFFSET(B137,-3,0)+1</f>
        <v>42</v>
      </c>
      <c r="C137" s="185">
        <f ca="1">IF($R137&lt;&gt;2,0,IF($S137=0,1,IF(F138&gt;0,OFFSET(QCI!$M$13,SUBSTITUTE(F138,".",""),0),OFFSET(ORÇAMENTO!$AA$15,CRONO!$F137,0))/$S137))</f>
        <v>0</v>
      </c>
      <c r="D137" s="185">
        <f ca="1">IF($R137&lt;&gt;2,0,IF($S137=0,1,IF(F138&gt;0,OFFSET(QCI!$N$13,SUBSTITUTE(F138,".",""),0),OFFSET(ORÇAMENTO!$AB$15,CRONO!$F137,0))/$S137))</f>
        <v>0</v>
      </c>
      <c r="E137" s="188" t="e" cm="1">
        <f t="array" aca="1" ref="E137" ca="1">IF(AND($R137=2,ACOMPANHAMENTO="BM"),ROUND(E138,4),E139/$S137)</f>
        <v>#VALUE!</v>
      </c>
      <c r="F137" s="185" t="e" cm="1">
        <f t="array" aca="1" ref="F137" ca="1">IF(B137&lt;=ORÇAMENTO.MáximoListaCrono,MATCH(B137,ORÇAMENTO.ListaCrono,0),NA())</f>
        <v>#N/A</v>
      </c>
      <c r="G137" s="185" t="str">
        <f t="shared" ref="G137" ca="1" si="250">IF(AND($F138&lt;&gt;-1,$S137&gt;0),"F","")</f>
        <v/>
      </c>
      <c r="H137" s="189" t="str" cm="1">
        <f t="array" aca="1" ref="H137" ca="1">IF(OR(S137=0,S137=""),"Linha",IF(AND(OR(ACOMPANHAMENTO="PLE",$R137&lt;&gt;2),$F138=0),"Linha",ROUND(1-SUM(U137:AG137),4)))</f>
        <v>Linha</v>
      </c>
      <c r="I137" s="190" t="str">
        <f ca="1">IF($F138=0,OFFSET(ORÇAMENTO!O$15,$F137,0),IF($F138&lt;&gt;-1,OFFSET(QCI!$D$13,$F138,0),""))</f>
        <v/>
      </c>
      <c r="J137" s="191" t="str">
        <f ca="1">IF($F138=0,OFFSET(ORÇAMENTO!R$15,$F137,0),IF($F138&lt;&gt;-1,OFFSET(QCI!$G$13,$F138,0),""))</f>
        <v/>
      </c>
      <c r="K137" s="191"/>
      <c r="L137" s="191"/>
      <c r="M137" s="192">
        <f ca="1">IF($F138=0,OFFSET(ORÇAMENTO!C$15,$F137,0),1)</f>
        <v>1</v>
      </c>
      <c r="N137" s="193">
        <f ca="1">IF($F138=-1,0,IF(N$13&lt;=$M137,IF(ISERROR(MATCH(N$13,OFFSET($M137,1,0,ROW($M$164)-ROW($M137)-1),0)),ROW($M$164)-ROW($M137)-1,MATCH(N$13,OFFSET($M137,1,0,ROW($M$164)-ROW($M137)-1),0)-1),0))</f>
        <v>0</v>
      </c>
      <c r="O137" s="193">
        <f ca="1">IF($F138=-1,0,IF(O$13&lt;=$M137,IF(ISERROR(MATCH(O$13,OFFSET($M137,1,0,ROW($M$164)-ROW($M137)-1),0)),ROW($M$164)-ROW($M137)-1,MATCH(O$13,OFFSET($M137,1,0,ROW($M$164)-ROW($M137)-1),0)-1),0))</f>
        <v>0</v>
      </c>
      <c r="P137" s="193">
        <f ca="1">IF($F138=-1,0,IF(P$13&lt;=$M137,IF(ISERROR(MATCH(P$13,OFFSET($M137,1,0,ROW($M$164)-ROW($M137)-1),0)),ROW($M$164)-ROW($M137)-1,MATCH(P$13,OFFSET($M137,1,0,ROW($M$164)-ROW($M137)-1),0)-1),0))</f>
        <v>0</v>
      </c>
      <c r="Q137" s="193">
        <f ca="1">IF($F138=-1,0,IF(Q$13&lt;=$M137,IF(ISERROR(MATCH(Q$13,OFFSET($M137,1,0,ROW($M$164)-ROW($M137)-1),0)),ROW($M$164)-ROW($M137)-1,MATCH(Q$13,OFFSET($M137,1,0,ROW($M$164)-ROW($M137)-1),0)-1),0))</f>
        <v>0</v>
      </c>
      <c r="R137" s="193">
        <f t="shared" ref="R137" ca="1" si="251">MIN(OFFSET(M137,0,1,,M137))</f>
        <v>0</v>
      </c>
      <c r="S137" s="194" t="str">
        <f ca="1">IF($F138=0,OFFSET(ORÇAMENTO!X$15,$F137,0),IF($F138&lt;&gt;-1,OFFSET(QCI!$O$13,$F138,0),""))</f>
        <v/>
      </c>
      <c r="T137" s="195" t="s">
        <v>785</v>
      </c>
      <c r="U137" s="188" t="e" cm="1">
        <f t="array" aca="1" ref="U137" ca="1">IF(AND($R137=2,ACOMPANHAMENTO="BM"),ROUND(U138,4),U139/$S137)</f>
        <v>#VALUE!</v>
      </c>
      <c r="V137" s="188" t="e" cm="1">
        <f t="array" aca="1" ref="V137" ca="1">IF(AND($R137=2,ACOMPANHAMENTO="BM"),ROUND(V138,4),V139/$S137)</f>
        <v>#VALUE!</v>
      </c>
      <c r="W137" s="188" t="e" cm="1">
        <f t="array" aca="1" ref="W137" ca="1">IF(AND($R137=2,ACOMPANHAMENTO="BM"),ROUND(W138,4),W139/$S137)</f>
        <v>#VALUE!</v>
      </c>
      <c r="X137" s="188" t="e" cm="1">
        <f t="array" aca="1" ref="X137" ca="1">IF(AND($R137=2,ACOMPANHAMENTO="BM"),ROUND(X138,4),X139/$S137)</f>
        <v>#VALUE!</v>
      </c>
      <c r="Y137" s="188" t="e" cm="1">
        <f t="array" aca="1" ref="Y137" ca="1">IF(AND($R137=2,ACOMPANHAMENTO="BM"),ROUND(Y138,4),Y139/$S137)</f>
        <v>#VALUE!</v>
      </c>
      <c r="Z137" s="188" t="e" cm="1">
        <f t="array" aca="1" ref="Z137" ca="1">IF(AND($R137=2,ACOMPANHAMENTO="BM"),ROUND(Z138,4),Z139/$S137)</f>
        <v>#VALUE!</v>
      </c>
      <c r="AA137" s="188" t="e" cm="1">
        <f t="array" aca="1" ref="AA137" ca="1">IF(AND($R137=2,ACOMPANHAMENTO="BM"),ROUND(AA138,4),AA139/$S137)</f>
        <v>#VALUE!</v>
      </c>
      <c r="AB137" s="188" t="e" cm="1">
        <f t="array" aca="1" ref="AB137" ca="1">IF(AND($R137=2,ACOMPANHAMENTO="BM"),ROUND(AB138,4),AB139/$S137)</f>
        <v>#VALUE!</v>
      </c>
      <c r="AC137" s="188" t="e" cm="1">
        <f t="array" aca="1" ref="AC137" ca="1">IF(AND($R137=2,ACOMPANHAMENTO="BM"),ROUND(AC138,4),AC139/$S137)</f>
        <v>#VALUE!</v>
      </c>
      <c r="AD137" s="188" t="e" cm="1">
        <f t="array" aca="1" ref="AD137" ca="1">IF(AND($R137=2,ACOMPANHAMENTO="BM"),ROUND(AD138,4),AD139/$S137)</f>
        <v>#VALUE!</v>
      </c>
      <c r="AE137" s="188" t="e" cm="1">
        <f t="array" aca="1" ref="AE137" ca="1">IF(AND($R137=2,ACOMPANHAMENTO="BM"),ROUND(AE138,4),AE139/$S137)</f>
        <v>#VALUE!</v>
      </c>
      <c r="AF137" s="188" t="e" cm="1">
        <f t="array" aca="1" ref="AF137" ca="1">IF(AND($R137=2,ACOMPANHAMENTO="BM"),ROUND(AF138,4),AF139/$S137)</f>
        <v>#VALUE!</v>
      </c>
      <c r="AG137" s="534"/>
    </row>
    <row r="138" spans="1:33" ht="12.75" customHeight="1" x14ac:dyDescent="0.2">
      <c r="E138" s="587"/>
      <c r="F138" s="185">
        <f ca="1">IF(ISERROR(F137),IF(1+COUNTIF($M$13:OFFSET(M137,-1,0),1)&lt;=MAX(QCI!$D$13:$D$24),1+COUNTIF($M$13:OFFSET(M137,-1,0),1),-1),0)</f>
        <v>-1</v>
      </c>
      <c r="G138" s="185" t="str" cm="1">
        <f t="array" aca="1" ref="G138" ca="1">IF(ACOMPANHAMENTO="BM",OFFSET(G138,-1,0),"")</f>
        <v/>
      </c>
      <c r="H138" s="196" t="str" cm="1">
        <f t="array" aca="1" ref="H138" ca="1">IF(OR(S137=0,S137=""),"vazia",IF(AND(OR(ACOMPANHAMENTO="PLE",$R137&lt;&gt;2),$F138=0),"calculada","--&gt;"))</f>
        <v>vazia</v>
      </c>
      <c r="I138" s="197"/>
      <c r="J138" s="198" t="str">
        <f t="shared" ref="J138" ca="1" si="252">IF(AND(H137&lt;&gt;0,ISNUMBER(H137)),"PREENCHA ESTA LINHA --&gt;","")</f>
        <v/>
      </c>
      <c r="K138" s="198"/>
      <c r="L138" s="198"/>
      <c r="M138" s="199"/>
      <c r="N138" s="199"/>
      <c r="O138" s="199"/>
      <c r="P138" s="199"/>
      <c r="Q138" s="199"/>
      <c r="R138" s="199"/>
      <c r="S138" s="200"/>
      <c r="T138" s="201"/>
      <c r="U138" s="587"/>
      <c r="V138" s="587"/>
      <c r="W138" s="587"/>
      <c r="X138" s="587"/>
      <c r="Y138" s="587"/>
      <c r="Z138" s="587"/>
      <c r="AA138" s="587"/>
      <c r="AB138" s="587"/>
      <c r="AC138" s="587"/>
      <c r="AD138" s="587"/>
      <c r="AE138" s="587"/>
      <c r="AF138" s="587"/>
      <c r="AG138" s="534"/>
    </row>
    <row r="139" spans="1:33" ht="12.75" customHeight="1" x14ac:dyDescent="0.2">
      <c r="D139" s="533"/>
      <c r="E139" s="202" cm="1">
        <f t="array" aca="1" ref="E139" ca="1">IF($R137=2,
         IF(AND(ACOMPANHAMENTO="PLE",ISNUMBER($F137)),
                SUMIF((OFFSET(CÁLCULO!$AM$15:$AW$15,$F137,0,OFFSET(ORÇAMENTO!$D$15,CRONO!$F137,0))),CRONO!E$12,OFFSET(CÁLCULO!$AB$15:$AL$15,$F137,0,OFFSET(ORÇAMENTO!$D$15,CRONO!$F137,0)))
                +IF(AND($F139&lt;&gt;"",$F139&lt;&gt;0),
                        SUMIF(CÁLCULO!$AM$15:$AW$44,CRONO!E$12,CÁLCULO!$AB$15:$AL$44)/(ORÇAMENTO!$X$15-CÁLCULO.TotalAdmLocal)*CRONO!$F139,
                        0),
                 E138*$S137),
          SUMIF(OFFSET($S139,1,0,$R137-2),($M137+1)&amp;"$",OFFSET(E139,1,0,$R137-2)))</f>
        <v>0</v>
      </c>
      <c r="F139" s="185" t="str">
        <f ca="1">IF(OR($R137&lt;&gt;2,AUTOEVENTO&lt;&gt;"manual",$F138&gt;0),"",
        IF(Import.TipoArredondamento="Tradicional",
              SUMIF(OFFSET(CÁLCULO!$M$15,CRONO!$F137,0,OFFSET(ORÇAMENTO!$D$15,CRONO!$F137,0)),1,OFFSET(ORÇAMENTO!$X$15,CRONO!$F137,0,OFFSET(ORÇAMENTO!$D$15,CRONO!$F137,0))),
              0))</f>
        <v/>
      </c>
      <c r="H139" s="203"/>
      <c r="S139" s="204" t="str">
        <f t="shared" ref="S139" ca="1" si="253">M137&amp;"$"</f>
        <v>1$</v>
      </c>
      <c r="T139" s="205"/>
      <c r="U139" s="202" cm="1">
        <f t="array" aca="1" ref="U139" ca="1">IF($R137=2,
         IF(AND(ACOMPANHAMENTO="PLE",ISNUMBER($F137)),
                SUMIF((OFFSET(CÁLCULO!$AM$15:$AW$15,$F137,0,OFFSET(ORÇAMENTO!$D$15,CRONO!$F137,0))),CRONO!U$12,OFFSET(CÁLCULO!$AB$15:$AL$15,$F137,0,OFFSET(ORÇAMENTO!$D$15,CRONO!$F137,0)))
                +IF(AND($F139&lt;&gt;"",$F139&lt;&gt;0),
                        SUMIF(CÁLCULO!$AM$15:$AW$44,CRONO!U$12,CÁLCULO!$AB$15:$AL$44)/(ORÇAMENTO!$X$15-CÁLCULO.TotalAdmLocal)*CRONO!$F139,
                        0),
                 U138*$S137),
          SUMIF(OFFSET($S139,1,0,$R137-2),($M137+1)&amp;"$",OFFSET(U139,1,0,$R137-2)))</f>
        <v>0</v>
      </c>
      <c r="V139" s="202" cm="1">
        <f t="array" aca="1" ref="V139" ca="1">IF($R137=2,
         IF(AND(ACOMPANHAMENTO="PLE",ISNUMBER($F137)),
                SUMIF((OFFSET(CÁLCULO!$AM$15:$AW$15,$F137,0,OFFSET(ORÇAMENTO!$D$15,CRONO!$F137,0))),CRONO!V$12,OFFSET(CÁLCULO!$AB$15:$AL$15,$F137,0,OFFSET(ORÇAMENTO!$D$15,CRONO!$F137,0)))
                +IF(AND($F139&lt;&gt;"",$F139&lt;&gt;0),
                        SUMIF(CÁLCULO!$AM$15:$AW$44,CRONO!V$12,CÁLCULO!$AB$15:$AL$44)/(ORÇAMENTO!$X$15-CÁLCULO.TotalAdmLocal)*CRONO!$F139,
                        0),
                 V138*$S137),
          SUMIF(OFFSET($S139,1,0,$R137-2),($M137+1)&amp;"$",OFFSET(V139,1,0,$R137-2)))</f>
        <v>0</v>
      </c>
      <c r="W139" s="202" cm="1">
        <f t="array" aca="1" ref="W139" ca="1">IF($R137=2,
         IF(AND(ACOMPANHAMENTO="PLE",ISNUMBER($F137)),
                SUMIF((OFFSET(CÁLCULO!$AM$15:$AW$15,$F137,0,OFFSET(ORÇAMENTO!$D$15,CRONO!$F137,0))),CRONO!W$12,OFFSET(CÁLCULO!$AB$15:$AL$15,$F137,0,OFFSET(ORÇAMENTO!$D$15,CRONO!$F137,0)))
                +IF(AND($F139&lt;&gt;"",$F139&lt;&gt;0),
                        SUMIF(CÁLCULO!$AM$15:$AW$44,CRONO!W$12,CÁLCULO!$AB$15:$AL$44)/(ORÇAMENTO!$X$15-CÁLCULO.TotalAdmLocal)*CRONO!$F139,
                        0),
                 W138*$S137),
          SUMIF(OFFSET($S139,1,0,$R137-2),($M137+1)&amp;"$",OFFSET(W139,1,0,$R137-2)))</f>
        <v>0</v>
      </c>
      <c r="X139" s="202" cm="1">
        <f t="array" aca="1" ref="X139" ca="1">IF($R137=2,
         IF(AND(ACOMPANHAMENTO="PLE",ISNUMBER($F137)),
                SUMIF((OFFSET(CÁLCULO!$AM$15:$AW$15,$F137,0,OFFSET(ORÇAMENTO!$D$15,CRONO!$F137,0))),CRONO!X$12,OFFSET(CÁLCULO!$AB$15:$AL$15,$F137,0,OFFSET(ORÇAMENTO!$D$15,CRONO!$F137,0)))
                +IF(AND($F139&lt;&gt;"",$F139&lt;&gt;0),
                        SUMIF(CÁLCULO!$AM$15:$AW$44,CRONO!X$12,CÁLCULO!$AB$15:$AL$44)/(ORÇAMENTO!$X$15-CÁLCULO.TotalAdmLocal)*CRONO!$F139,
                        0),
                 X138*$S137),
          SUMIF(OFFSET($S139,1,0,$R137-2),($M137+1)&amp;"$",OFFSET(X139,1,0,$R137-2)))</f>
        <v>0</v>
      </c>
      <c r="Y139" s="202" cm="1">
        <f t="array" aca="1" ref="Y139" ca="1">IF($R137=2,
         IF(AND(ACOMPANHAMENTO="PLE",ISNUMBER($F137)),
                SUMIF((OFFSET(CÁLCULO!$AM$15:$AW$15,$F137,0,OFFSET(ORÇAMENTO!$D$15,CRONO!$F137,0))),CRONO!Y$12,OFFSET(CÁLCULO!$AB$15:$AL$15,$F137,0,OFFSET(ORÇAMENTO!$D$15,CRONO!$F137,0)))
                +IF(AND($F139&lt;&gt;"",$F139&lt;&gt;0),
                        SUMIF(CÁLCULO!$AM$15:$AW$44,CRONO!Y$12,CÁLCULO!$AB$15:$AL$44)/(ORÇAMENTO!$X$15-CÁLCULO.TotalAdmLocal)*CRONO!$F139,
                        0),
                 Y138*$S137),
          SUMIF(OFFSET($S139,1,0,$R137-2),($M137+1)&amp;"$",OFFSET(Y139,1,0,$R137-2)))</f>
        <v>0</v>
      </c>
      <c r="Z139" s="202" cm="1">
        <f t="array" aca="1" ref="Z139" ca="1">IF($R137=2,
         IF(AND(ACOMPANHAMENTO="PLE",ISNUMBER($F137)),
                SUMIF((OFFSET(CÁLCULO!$AM$15:$AW$15,$F137,0,OFFSET(ORÇAMENTO!$D$15,CRONO!$F137,0))),CRONO!Z$12,OFFSET(CÁLCULO!$AB$15:$AL$15,$F137,0,OFFSET(ORÇAMENTO!$D$15,CRONO!$F137,0)))
                +IF(AND($F139&lt;&gt;"",$F139&lt;&gt;0),
                        SUMIF(CÁLCULO!$AM$15:$AW$44,CRONO!Z$12,CÁLCULO!$AB$15:$AL$44)/(ORÇAMENTO!$X$15-CÁLCULO.TotalAdmLocal)*CRONO!$F139,
                        0),
                 Z138*$S137),
          SUMIF(OFFSET($S139,1,0,$R137-2),($M137+1)&amp;"$",OFFSET(Z139,1,0,$R137-2)))</f>
        <v>0</v>
      </c>
      <c r="AA139" s="202" cm="1">
        <f t="array" aca="1" ref="AA139" ca="1">IF($R137=2,
         IF(AND(ACOMPANHAMENTO="PLE",ISNUMBER($F137)),
                SUMIF((OFFSET(CÁLCULO!$AM$15:$AW$15,$F137,0,OFFSET(ORÇAMENTO!$D$15,CRONO!$F137,0))),CRONO!AA$12,OFFSET(CÁLCULO!$AB$15:$AL$15,$F137,0,OFFSET(ORÇAMENTO!$D$15,CRONO!$F137,0)))
                +IF(AND($F139&lt;&gt;"",$F139&lt;&gt;0),
                        SUMIF(CÁLCULO!$AM$15:$AW$44,CRONO!AA$12,CÁLCULO!$AB$15:$AL$44)/(ORÇAMENTO!$X$15-CÁLCULO.TotalAdmLocal)*CRONO!$F139,
                        0),
                 AA138*$S137),
          SUMIF(OFFSET($S139,1,0,$R137-2),($M137+1)&amp;"$",OFFSET(AA139,1,0,$R137-2)))</f>
        <v>0</v>
      </c>
      <c r="AB139" s="202" cm="1">
        <f t="array" aca="1" ref="AB139" ca="1">IF($R137=2,
         IF(AND(ACOMPANHAMENTO="PLE",ISNUMBER($F137)),
                SUMIF((OFFSET(CÁLCULO!$AM$15:$AW$15,$F137,0,OFFSET(ORÇAMENTO!$D$15,CRONO!$F137,0))),CRONO!AB$12,OFFSET(CÁLCULO!$AB$15:$AL$15,$F137,0,OFFSET(ORÇAMENTO!$D$15,CRONO!$F137,0)))
                +IF(AND($F139&lt;&gt;"",$F139&lt;&gt;0),
                        SUMIF(CÁLCULO!$AM$15:$AW$44,CRONO!AB$12,CÁLCULO!$AB$15:$AL$44)/(ORÇAMENTO!$X$15-CÁLCULO.TotalAdmLocal)*CRONO!$F139,
                        0),
                 AB138*$S137),
          SUMIF(OFFSET($S139,1,0,$R137-2),($M137+1)&amp;"$",OFFSET(AB139,1,0,$R137-2)))</f>
        <v>0</v>
      </c>
      <c r="AC139" s="202" cm="1">
        <f t="array" aca="1" ref="AC139" ca="1">IF($R137=2,
         IF(AND(ACOMPANHAMENTO="PLE",ISNUMBER($F137)),
                SUMIF((OFFSET(CÁLCULO!$AM$15:$AW$15,$F137,0,OFFSET(ORÇAMENTO!$D$15,CRONO!$F137,0))),CRONO!AC$12,OFFSET(CÁLCULO!$AB$15:$AL$15,$F137,0,OFFSET(ORÇAMENTO!$D$15,CRONO!$F137,0)))
                +IF(AND($F139&lt;&gt;"",$F139&lt;&gt;0),
                        SUMIF(CÁLCULO!$AM$15:$AW$44,CRONO!AC$12,CÁLCULO!$AB$15:$AL$44)/(ORÇAMENTO!$X$15-CÁLCULO.TotalAdmLocal)*CRONO!$F139,
                        0),
                 AC138*$S137),
          SUMIF(OFFSET($S139,1,0,$R137-2),($M137+1)&amp;"$",OFFSET(AC139,1,0,$R137-2)))</f>
        <v>0</v>
      </c>
      <c r="AD139" s="202" cm="1">
        <f t="array" aca="1" ref="AD139" ca="1">IF($R137=2,
         IF(AND(ACOMPANHAMENTO="PLE",ISNUMBER($F137)),
                SUMIF((OFFSET(CÁLCULO!$AM$15:$AW$15,$F137,0,OFFSET(ORÇAMENTO!$D$15,CRONO!$F137,0))),CRONO!AD$12,OFFSET(CÁLCULO!$AB$15:$AL$15,$F137,0,OFFSET(ORÇAMENTO!$D$15,CRONO!$F137,0)))
                +IF(AND($F139&lt;&gt;"",$F139&lt;&gt;0),
                        SUMIF(CÁLCULO!$AM$15:$AW$44,CRONO!AD$12,CÁLCULO!$AB$15:$AL$44)/(ORÇAMENTO!$X$15-CÁLCULO.TotalAdmLocal)*CRONO!$F139,
                        0),
                 AD138*$S137),
          SUMIF(OFFSET($S139,1,0,$R137-2),($M137+1)&amp;"$",OFFSET(AD139,1,0,$R137-2)))</f>
        <v>0</v>
      </c>
      <c r="AE139" s="202" cm="1">
        <f t="array" aca="1" ref="AE139" ca="1">IF($R137=2,
         IF(AND(ACOMPANHAMENTO="PLE",ISNUMBER($F137)),
                SUMIF((OFFSET(CÁLCULO!$AM$15:$AW$15,$F137,0,OFFSET(ORÇAMENTO!$D$15,CRONO!$F137,0))),CRONO!AE$12,OFFSET(CÁLCULO!$AB$15:$AL$15,$F137,0,OFFSET(ORÇAMENTO!$D$15,CRONO!$F137,0)))
                +IF(AND($F139&lt;&gt;"",$F139&lt;&gt;0),
                        SUMIF(CÁLCULO!$AM$15:$AW$44,CRONO!AE$12,CÁLCULO!$AB$15:$AL$44)/(ORÇAMENTO!$X$15-CÁLCULO.TotalAdmLocal)*CRONO!$F139,
                        0),
                 AE138*$S137),
          SUMIF(OFFSET($S139,1,0,$R137-2),($M137+1)&amp;"$",OFFSET(AE139,1,0,$R137-2)))</f>
        <v>0</v>
      </c>
      <c r="AF139" s="202" cm="1">
        <f t="array" aca="1" ref="AF139" ca="1">IF($R137=2,
         IF(AND(ACOMPANHAMENTO="PLE",ISNUMBER($F137)),
                SUMIF((OFFSET(CÁLCULO!$AM$15:$AW$15,$F137,0,OFFSET(ORÇAMENTO!$D$15,CRONO!$F137,0))),CRONO!AF$12,OFFSET(CÁLCULO!$AB$15:$AL$15,$F137,0,OFFSET(ORÇAMENTO!$D$15,CRONO!$F137,0)))
                +IF(AND($F139&lt;&gt;"",$F139&lt;&gt;0),
                        SUMIF(CÁLCULO!$AM$15:$AW$44,CRONO!AF$12,CÁLCULO!$AB$15:$AL$44)/(ORÇAMENTO!$X$15-CÁLCULO.TotalAdmLocal)*CRONO!$F139,
                        0),
                 AF138*$S137),
          SUMIF(OFFSET($S139,1,0,$R137-2),($M137+1)&amp;"$",OFFSET(AF139,1,0,$R137-2)))</f>
        <v>0</v>
      </c>
      <c r="AG139" s="534"/>
    </row>
    <row r="140" spans="1:33" x14ac:dyDescent="0.2">
      <c r="A140" s="186" t="str">
        <f t="shared" ref="A140" ca="1" si="254">IF($M140&gt;1,_xlfn.CONCAT($I140," ",$J140),"")</f>
        <v/>
      </c>
      <c r="B140" s="185">
        <f t="shared" ref="B140" ca="1" si="255">OFFSET(B140,-3,0)+1</f>
        <v>43</v>
      </c>
      <c r="C140" s="185">
        <f ca="1">IF($R140&lt;&gt;2,0,IF($S140=0,1,IF(F141&gt;0,OFFSET(QCI!$M$13,SUBSTITUTE(F141,".",""),0),OFFSET(ORÇAMENTO!$AA$15,CRONO!$F140,0))/$S140))</f>
        <v>0</v>
      </c>
      <c r="D140" s="185">
        <f ca="1">IF($R140&lt;&gt;2,0,IF($S140=0,1,IF(F141&gt;0,OFFSET(QCI!$N$13,SUBSTITUTE(F141,".",""),0),OFFSET(ORÇAMENTO!$AB$15,CRONO!$F140,0))/$S140))</f>
        <v>0</v>
      </c>
      <c r="E140" s="188" t="e" cm="1">
        <f t="array" aca="1" ref="E140" ca="1">IF(AND($R140=2,ACOMPANHAMENTO="BM"),ROUND(E141,4),E142/$S140)</f>
        <v>#VALUE!</v>
      </c>
      <c r="F140" s="185" t="e" cm="1">
        <f t="array" aca="1" ref="F140" ca="1">IF(B140&lt;=ORÇAMENTO.MáximoListaCrono,MATCH(B140,ORÇAMENTO.ListaCrono,0),NA())</f>
        <v>#N/A</v>
      </c>
      <c r="G140" s="185" t="str">
        <f t="shared" ref="G140" ca="1" si="256">IF(AND($F141&lt;&gt;-1,$S140&gt;0),"F","")</f>
        <v/>
      </c>
      <c r="H140" s="189" t="str" cm="1">
        <f t="array" aca="1" ref="H140" ca="1">IF(OR(S140=0,S140=""),"Linha",IF(AND(OR(ACOMPANHAMENTO="PLE",$R140&lt;&gt;2),$F141=0),"Linha",ROUND(1-SUM(U140:AG140),4)))</f>
        <v>Linha</v>
      </c>
      <c r="I140" s="190" t="str">
        <f ca="1">IF($F141=0,OFFSET(ORÇAMENTO!O$15,$F140,0),IF($F141&lt;&gt;-1,OFFSET(QCI!$D$13,$F141,0),""))</f>
        <v/>
      </c>
      <c r="J140" s="191" t="str">
        <f ca="1">IF($F141=0,OFFSET(ORÇAMENTO!R$15,$F140,0),IF($F141&lt;&gt;-1,OFFSET(QCI!$G$13,$F141,0),""))</f>
        <v/>
      </c>
      <c r="K140" s="191"/>
      <c r="L140" s="191"/>
      <c r="M140" s="192">
        <f ca="1">IF($F141=0,OFFSET(ORÇAMENTO!C$15,$F140,0),1)</f>
        <v>1</v>
      </c>
      <c r="N140" s="193">
        <f ca="1">IF($F141=-1,0,IF(N$13&lt;=$M140,IF(ISERROR(MATCH(N$13,OFFSET($M140,1,0,ROW($M$164)-ROW($M140)-1),0)),ROW($M$164)-ROW($M140)-1,MATCH(N$13,OFFSET($M140,1,0,ROW($M$164)-ROW($M140)-1),0)-1),0))</f>
        <v>0</v>
      </c>
      <c r="O140" s="193">
        <f ca="1">IF($F141=-1,0,IF(O$13&lt;=$M140,IF(ISERROR(MATCH(O$13,OFFSET($M140,1,0,ROW($M$164)-ROW($M140)-1),0)),ROW($M$164)-ROW($M140)-1,MATCH(O$13,OFFSET($M140,1,0,ROW($M$164)-ROW($M140)-1),0)-1),0))</f>
        <v>0</v>
      </c>
      <c r="P140" s="193">
        <f ca="1">IF($F141=-1,0,IF(P$13&lt;=$M140,IF(ISERROR(MATCH(P$13,OFFSET($M140,1,0,ROW($M$164)-ROW($M140)-1),0)),ROW($M$164)-ROW($M140)-1,MATCH(P$13,OFFSET($M140,1,0,ROW($M$164)-ROW($M140)-1),0)-1),0))</f>
        <v>0</v>
      </c>
      <c r="Q140" s="193">
        <f ca="1">IF($F141=-1,0,IF(Q$13&lt;=$M140,IF(ISERROR(MATCH(Q$13,OFFSET($M140,1,0,ROW($M$164)-ROW($M140)-1),0)),ROW($M$164)-ROW($M140)-1,MATCH(Q$13,OFFSET($M140,1,0,ROW($M$164)-ROW($M140)-1),0)-1),0))</f>
        <v>0</v>
      </c>
      <c r="R140" s="193">
        <f t="shared" ref="R140" ca="1" si="257">MIN(OFFSET(M140,0,1,,M140))</f>
        <v>0</v>
      </c>
      <c r="S140" s="194" t="str">
        <f ca="1">IF($F141=0,OFFSET(ORÇAMENTO!X$15,$F140,0),IF($F141&lt;&gt;-1,OFFSET(QCI!$O$13,$F141,0),""))</f>
        <v/>
      </c>
      <c r="T140" s="195" t="s">
        <v>785</v>
      </c>
      <c r="U140" s="188" t="e" cm="1">
        <f t="array" aca="1" ref="U140" ca="1">IF(AND($R140=2,ACOMPANHAMENTO="BM"),ROUND(U141,4),U142/$S140)</f>
        <v>#VALUE!</v>
      </c>
      <c r="V140" s="188" t="e" cm="1">
        <f t="array" aca="1" ref="V140" ca="1">IF(AND($R140=2,ACOMPANHAMENTO="BM"),ROUND(V141,4),V142/$S140)</f>
        <v>#VALUE!</v>
      </c>
      <c r="W140" s="188" t="e" cm="1">
        <f t="array" aca="1" ref="W140" ca="1">IF(AND($R140=2,ACOMPANHAMENTO="BM"),ROUND(W141,4),W142/$S140)</f>
        <v>#VALUE!</v>
      </c>
      <c r="X140" s="188" t="e" cm="1">
        <f t="array" aca="1" ref="X140" ca="1">IF(AND($R140=2,ACOMPANHAMENTO="BM"),ROUND(X141,4),X142/$S140)</f>
        <v>#VALUE!</v>
      </c>
      <c r="Y140" s="188" t="e" cm="1">
        <f t="array" aca="1" ref="Y140" ca="1">IF(AND($R140=2,ACOMPANHAMENTO="BM"),ROUND(Y141,4),Y142/$S140)</f>
        <v>#VALUE!</v>
      </c>
      <c r="Z140" s="188" t="e" cm="1">
        <f t="array" aca="1" ref="Z140" ca="1">IF(AND($R140=2,ACOMPANHAMENTO="BM"),ROUND(Z141,4),Z142/$S140)</f>
        <v>#VALUE!</v>
      </c>
      <c r="AA140" s="188" t="e" cm="1">
        <f t="array" aca="1" ref="AA140" ca="1">IF(AND($R140=2,ACOMPANHAMENTO="BM"),ROUND(AA141,4),AA142/$S140)</f>
        <v>#VALUE!</v>
      </c>
      <c r="AB140" s="188" t="e" cm="1">
        <f t="array" aca="1" ref="AB140" ca="1">IF(AND($R140=2,ACOMPANHAMENTO="BM"),ROUND(AB141,4),AB142/$S140)</f>
        <v>#VALUE!</v>
      </c>
      <c r="AC140" s="188" t="e" cm="1">
        <f t="array" aca="1" ref="AC140" ca="1">IF(AND($R140=2,ACOMPANHAMENTO="BM"),ROUND(AC141,4),AC142/$S140)</f>
        <v>#VALUE!</v>
      </c>
      <c r="AD140" s="188" t="e" cm="1">
        <f t="array" aca="1" ref="AD140" ca="1">IF(AND($R140=2,ACOMPANHAMENTO="BM"),ROUND(AD141,4),AD142/$S140)</f>
        <v>#VALUE!</v>
      </c>
      <c r="AE140" s="188" t="e" cm="1">
        <f t="array" aca="1" ref="AE140" ca="1">IF(AND($R140=2,ACOMPANHAMENTO="BM"),ROUND(AE141,4),AE142/$S140)</f>
        <v>#VALUE!</v>
      </c>
      <c r="AF140" s="188" t="e" cm="1">
        <f t="array" aca="1" ref="AF140" ca="1">IF(AND($R140=2,ACOMPANHAMENTO="BM"),ROUND(AF141,4),AF142/$S140)</f>
        <v>#VALUE!</v>
      </c>
      <c r="AG140" s="534"/>
    </row>
    <row r="141" spans="1:33" ht="12.75" customHeight="1" x14ac:dyDescent="0.2">
      <c r="E141" s="587"/>
      <c r="F141" s="185">
        <f ca="1">IF(ISERROR(F140),IF(1+COUNTIF($M$13:OFFSET(M140,-1,0),1)&lt;=MAX(QCI!$D$13:$D$24),1+COUNTIF($M$13:OFFSET(M140,-1,0),1),-1),0)</f>
        <v>-1</v>
      </c>
      <c r="G141" s="185" t="str" cm="1">
        <f t="array" aca="1" ref="G141" ca="1">IF(ACOMPANHAMENTO="BM",OFFSET(G141,-1,0),"")</f>
        <v/>
      </c>
      <c r="H141" s="196" t="str" cm="1">
        <f t="array" aca="1" ref="H141" ca="1">IF(OR(S140=0,S140=""),"vazia",IF(AND(OR(ACOMPANHAMENTO="PLE",$R140&lt;&gt;2),$F141=0),"calculada","--&gt;"))</f>
        <v>vazia</v>
      </c>
      <c r="I141" s="197"/>
      <c r="J141" s="198" t="str">
        <f t="shared" ref="J141" ca="1" si="258">IF(AND(H140&lt;&gt;0,ISNUMBER(H140)),"PREENCHA ESTA LINHA --&gt;","")</f>
        <v/>
      </c>
      <c r="K141" s="198"/>
      <c r="L141" s="198"/>
      <c r="M141" s="199"/>
      <c r="N141" s="199"/>
      <c r="O141" s="199"/>
      <c r="P141" s="199"/>
      <c r="Q141" s="199"/>
      <c r="R141" s="199"/>
      <c r="S141" s="200"/>
      <c r="T141" s="201"/>
      <c r="U141" s="587"/>
      <c r="V141" s="587"/>
      <c r="W141" s="587"/>
      <c r="X141" s="587"/>
      <c r="Y141" s="587"/>
      <c r="Z141" s="587"/>
      <c r="AA141" s="587"/>
      <c r="AB141" s="587"/>
      <c r="AC141" s="587"/>
      <c r="AD141" s="587"/>
      <c r="AE141" s="587"/>
      <c r="AF141" s="587"/>
      <c r="AG141" s="534"/>
    </row>
    <row r="142" spans="1:33" ht="12.75" customHeight="1" x14ac:dyDescent="0.2">
      <c r="D142" s="533"/>
      <c r="E142" s="202" cm="1">
        <f t="array" aca="1" ref="E142" ca="1">IF($R140=2,
         IF(AND(ACOMPANHAMENTO="PLE",ISNUMBER($F140)),
                SUMIF((OFFSET(CÁLCULO!$AM$15:$AW$15,$F140,0,OFFSET(ORÇAMENTO!$D$15,CRONO!$F140,0))),CRONO!E$12,OFFSET(CÁLCULO!$AB$15:$AL$15,$F140,0,OFFSET(ORÇAMENTO!$D$15,CRONO!$F140,0)))
                +IF(AND($F142&lt;&gt;"",$F142&lt;&gt;0),
                        SUMIF(CÁLCULO!$AM$15:$AW$44,CRONO!E$12,CÁLCULO!$AB$15:$AL$44)/(ORÇAMENTO!$X$15-CÁLCULO.TotalAdmLocal)*CRONO!$F142,
                        0),
                 E141*$S140),
          SUMIF(OFFSET($S142,1,0,$R140-2),($M140+1)&amp;"$",OFFSET(E142,1,0,$R140-2)))</f>
        <v>0</v>
      </c>
      <c r="F142" s="185" t="str">
        <f ca="1">IF(OR($R140&lt;&gt;2,AUTOEVENTO&lt;&gt;"manual",$F141&gt;0),"",
        IF(Import.TipoArredondamento="Tradicional",
              SUMIF(OFFSET(CÁLCULO!$M$15,CRONO!$F140,0,OFFSET(ORÇAMENTO!$D$15,CRONO!$F140,0)),1,OFFSET(ORÇAMENTO!$X$15,CRONO!$F140,0,OFFSET(ORÇAMENTO!$D$15,CRONO!$F140,0))),
              0))</f>
        <v/>
      </c>
      <c r="H142" s="203"/>
      <c r="S142" s="204" t="str">
        <f t="shared" ref="S142" ca="1" si="259">M140&amp;"$"</f>
        <v>1$</v>
      </c>
      <c r="T142" s="205"/>
      <c r="U142" s="202" cm="1">
        <f t="array" aca="1" ref="U142" ca="1">IF($R140=2,
         IF(AND(ACOMPANHAMENTO="PLE",ISNUMBER($F140)),
                SUMIF((OFFSET(CÁLCULO!$AM$15:$AW$15,$F140,0,OFFSET(ORÇAMENTO!$D$15,CRONO!$F140,0))),CRONO!U$12,OFFSET(CÁLCULO!$AB$15:$AL$15,$F140,0,OFFSET(ORÇAMENTO!$D$15,CRONO!$F140,0)))
                +IF(AND($F142&lt;&gt;"",$F142&lt;&gt;0),
                        SUMIF(CÁLCULO!$AM$15:$AW$44,CRONO!U$12,CÁLCULO!$AB$15:$AL$44)/(ORÇAMENTO!$X$15-CÁLCULO.TotalAdmLocal)*CRONO!$F142,
                        0),
                 U141*$S140),
          SUMIF(OFFSET($S142,1,0,$R140-2),($M140+1)&amp;"$",OFFSET(U142,1,0,$R140-2)))</f>
        <v>0</v>
      </c>
      <c r="V142" s="202" cm="1">
        <f t="array" aca="1" ref="V142" ca="1">IF($R140=2,
         IF(AND(ACOMPANHAMENTO="PLE",ISNUMBER($F140)),
                SUMIF((OFFSET(CÁLCULO!$AM$15:$AW$15,$F140,0,OFFSET(ORÇAMENTO!$D$15,CRONO!$F140,0))),CRONO!V$12,OFFSET(CÁLCULO!$AB$15:$AL$15,$F140,0,OFFSET(ORÇAMENTO!$D$15,CRONO!$F140,0)))
                +IF(AND($F142&lt;&gt;"",$F142&lt;&gt;0),
                        SUMIF(CÁLCULO!$AM$15:$AW$44,CRONO!V$12,CÁLCULO!$AB$15:$AL$44)/(ORÇAMENTO!$X$15-CÁLCULO.TotalAdmLocal)*CRONO!$F142,
                        0),
                 V141*$S140),
          SUMIF(OFFSET($S142,1,0,$R140-2),($M140+1)&amp;"$",OFFSET(V142,1,0,$R140-2)))</f>
        <v>0</v>
      </c>
      <c r="W142" s="202" cm="1">
        <f t="array" aca="1" ref="W142" ca="1">IF($R140=2,
         IF(AND(ACOMPANHAMENTO="PLE",ISNUMBER($F140)),
                SUMIF((OFFSET(CÁLCULO!$AM$15:$AW$15,$F140,0,OFFSET(ORÇAMENTO!$D$15,CRONO!$F140,0))),CRONO!W$12,OFFSET(CÁLCULO!$AB$15:$AL$15,$F140,0,OFFSET(ORÇAMENTO!$D$15,CRONO!$F140,0)))
                +IF(AND($F142&lt;&gt;"",$F142&lt;&gt;0),
                        SUMIF(CÁLCULO!$AM$15:$AW$44,CRONO!W$12,CÁLCULO!$AB$15:$AL$44)/(ORÇAMENTO!$X$15-CÁLCULO.TotalAdmLocal)*CRONO!$F142,
                        0),
                 W141*$S140),
          SUMIF(OFFSET($S142,1,0,$R140-2),($M140+1)&amp;"$",OFFSET(W142,1,0,$R140-2)))</f>
        <v>0</v>
      </c>
      <c r="X142" s="202" cm="1">
        <f t="array" aca="1" ref="X142" ca="1">IF($R140=2,
         IF(AND(ACOMPANHAMENTO="PLE",ISNUMBER($F140)),
                SUMIF((OFFSET(CÁLCULO!$AM$15:$AW$15,$F140,0,OFFSET(ORÇAMENTO!$D$15,CRONO!$F140,0))),CRONO!X$12,OFFSET(CÁLCULO!$AB$15:$AL$15,$F140,0,OFFSET(ORÇAMENTO!$D$15,CRONO!$F140,0)))
                +IF(AND($F142&lt;&gt;"",$F142&lt;&gt;0),
                        SUMIF(CÁLCULO!$AM$15:$AW$44,CRONO!X$12,CÁLCULO!$AB$15:$AL$44)/(ORÇAMENTO!$X$15-CÁLCULO.TotalAdmLocal)*CRONO!$F142,
                        0),
                 X141*$S140),
          SUMIF(OFFSET($S142,1,0,$R140-2),($M140+1)&amp;"$",OFFSET(X142,1,0,$R140-2)))</f>
        <v>0</v>
      </c>
      <c r="Y142" s="202" cm="1">
        <f t="array" aca="1" ref="Y142" ca="1">IF($R140=2,
         IF(AND(ACOMPANHAMENTO="PLE",ISNUMBER($F140)),
                SUMIF((OFFSET(CÁLCULO!$AM$15:$AW$15,$F140,0,OFFSET(ORÇAMENTO!$D$15,CRONO!$F140,0))),CRONO!Y$12,OFFSET(CÁLCULO!$AB$15:$AL$15,$F140,0,OFFSET(ORÇAMENTO!$D$15,CRONO!$F140,0)))
                +IF(AND($F142&lt;&gt;"",$F142&lt;&gt;0),
                        SUMIF(CÁLCULO!$AM$15:$AW$44,CRONO!Y$12,CÁLCULO!$AB$15:$AL$44)/(ORÇAMENTO!$X$15-CÁLCULO.TotalAdmLocal)*CRONO!$F142,
                        0),
                 Y141*$S140),
          SUMIF(OFFSET($S142,1,0,$R140-2),($M140+1)&amp;"$",OFFSET(Y142,1,0,$R140-2)))</f>
        <v>0</v>
      </c>
      <c r="Z142" s="202" cm="1">
        <f t="array" aca="1" ref="Z142" ca="1">IF($R140=2,
         IF(AND(ACOMPANHAMENTO="PLE",ISNUMBER($F140)),
                SUMIF((OFFSET(CÁLCULO!$AM$15:$AW$15,$F140,0,OFFSET(ORÇAMENTO!$D$15,CRONO!$F140,0))),CRONO!Z$12,OFFSET(CÁLCULO!$AB$15:$AL$15,$F140,0,OFFSET(ORÇAMENTO!$D$15,CRONO!$F140,0)))
                +IF(AND($F142&lt;&gt;"",$F142&lt;&gt;0),
                        SUMIF(CÁLCULO!$AM$15:$AW$44,CRONO!Z$12,CÁLCULO!$AB$15:$AL$44)/(ORÇAMENTO!$X$15-CÁLCULO.TotalAdmLocal)*CRONO!$F142,
                        0),
                 Z141*$S140),
          SUMIF(OFFSET($S142,1,0,$R140-2),($M140+1)&amp;"$",OFFSET(Z142,1,0,$R140-2)))</f>
        <v>0</v>
      </c>
      <c r="AA142" s="202" cm="1">
        <f t="array" aca="1" ref="AA142" ca="1">IF($R140=2,
         IF(AND(ACOMPANHAMENTO="PLE",ISNUMBER($F140)),
                SUMIF((OFFSET(CÁLCULO!$AM$15:$AW$15,$F140,0,OFFSET(ORÇAMENTO!$D$15,CRONO!$F140,0))),CRONO!AA$12,OFFSET(CÁLCULO!$AB$15:$AL$15,$F140,0,OFFSET(ORÇAMENTO!$D$15,CRONO!$F140,0)))
                +IF(AND($F142&lt;&gt;"",$F142&lt;&gt;0),
                        SUMIF(CÁLCULO!$AM$15:$AW$44,CRONO!AA$12,CÁLCULO!$AB$15:$AL$44)/(ORÇAMENTO!$X$15-CÁLCULO.TotalAdmLocal)*CRONO!$F142,
                        0),
                 AA141*$S140),
          SUMIF(OFFSET($S142,1,0,$R140-2),($M140+1)&amp;"$",OFFSET(AA142,1,0,$R140-2)))</f>
        <v>0</v>
      </c>
      <c r="AB142" s="202" cm="1">
        <f t="array" aca="1" ref="AB142" ca="1">IF($R140=2,
         IF(AND(ACOMPANHAMENTO="PLE",ISNUMBER($F140)),
                SUMIF((OFFSET(CÁLCULO!$AM$15:$AW$15,$F140,0,OFFSET(ORÇAMENTO!$D$15,CRONO!$F140,0))),CRONO!AB$12,OFFSET(CÁLCULO!$AB$15:$AL$15,$F140,0,OFFSET(ORÇAMENTO!$D$15,CRONO!$F140,0)))
                +IF(AND($F142&lt;&gt;"",$F142&lt;&gt;0),
                        SUMIF(CÁLCULO!$AM$15:$AW$44,CRONO!AB$12,CÁLCULO!$AB$15:$AL$44)/(ORÇAMENTO!$X$15-CÁLCULO.TotalAdmLocal)*CRONO!$F142,
                        0),
                 AB141*$S140),
          SUMIF(OFFSET($S142,1,0,$R140-2),($M140+1)&amp;"$",OFFSET(AB142,1,0,$R140-2)))</f>
        <v>0</v>
      </c>
      <c r="AC142" s="202" cm="1">
        <f t="array" aca="1" ref="AC142" ca="1">IF($R140=2,
         IF(AND(ACOMPANHAMENTO="PLE",ISNUMBER($F140)),
                SUMIF((OFFSET(CÁLCULO!$AM$15:$AW$15,$F140,0,OFFSET(ORÇAMENTO!$D$15,CRONO!$F140,0))),CRONO!AC$12,OFFSET(CÁLCULO!$AB$15:$AL$15,$F140,0,OFFSET(ORÇAMENTO!$D$15,CRONO!$F140,0)))
                +IF(AND($F142&lt;&gt;"",$F142&lt;&gt;0),
                        SUMIF(CÁLCULO!$AM$15:$AW$44,CRONO!AC$12,CÁLCULO!$AB$15:$AL$44)/(ORÇAMENTO!$X$15-CÁLCULO.TotalAdmLocal)*CRONO!$F142,
                        0),
                 AC141*$S140),
          SUMIF(OFFSET($S142,1,0,$R140-2),($M140+1)&amp;"$",OFFSET(AC142,1,0,$R140-2)))</f>
        <v>0</v>
      </c>
      <c r="AD142" s="202" cm="1">
        <f t="array" aca="1" ref="AD142" ca="1">IF($R140=2,
         IF(AND(ACOMPANHAMENTO="PLE",ISNUMBER($F140)),
                SUMIF((OFFSET(CÁLCULO!$AM$15:$AW$15,$F140,0,OFFSET(ORÇAMENTO!$D$15,CRONO!$F140,0))),CRONO!AD$12,OFFSET(CÁLCULO!$AB$15:$AL$15,$F140,0,OFFSET(ORÇAMENTO!$D$15,CRONO!$F140,0)))
                +IF(AND($F142&lt;&gt;"",$F142&lt;&gt;0),
                        SUMIF(CÁLCULO!$AM$15:$AW$44,CRONO!AD$12,CÁLCULO!$AB$15:$AL$44)/(ORÇAMENTO!$X$15-CÁLCULO.TotalAdmLocal)*CRONO!$F142,
                        0),
                 AD141*$S140),
          SUMIF(OFFSET($S142,1,0,$R140-2),($M140+1)&amp;"$",OFFSET(AD142,1,0,$R140-2)))</f>
        <v>0</v>
      </c>
      <c r="AE142" s="202" cm="1">
        <f t="array" aca="1" ref="AE142" ca="1">IF($R140=2,
         IF(AND(ACOMPANHAMENTO="PLE",ISNUMBER($F140)),
                SUMIF((OFFSET(CÁLCULO!$AM$15:$AW$15,$F140,0,OFFSET(ORÇAMENTO!$D$15,CRONO!$F140,0))),CRONO!AE$12,OFFSET(CÁLCULO!$AB$15:$AL$15,$F140,0,OFFSET(ORÇAMENTO!$D$15,CRONO!$F140,0)))
                +IF(AND($F142&lt;&gt;"",$F142&lt;&gt;0),
                        SUMIF(CÁLCULO!$AM$15:$AW$44,CRONO!AE$12,CÁLCULO!$AB$15:$AL$44)/(ORÇAMENTO!$X$15-CÁLCULO.TotalAdmLocal)*CRONO!$F142,
                        0),
                 AE141*$S140),
          SUMIF(OFFSET($S142,1,0,$R140-2),($M140+1)&amp;"$",OFFSET(AE142,1,0,$R140-2)))</f>
        <v>0</v>
      </c>
      <c r="AF142" s="202" cm="1">
        <f t="array" aca="1" ref="AF142" ca="1">IF($R140=2,
         IF(AND(ACOMPANHAMENTO="PLE",ISNUMBER($F140)),
                SUMIF((OFFSET(CÁLCULO!$AM$15:$AW$15,$F140,0,OFFSET(ORÇAMENTO!$D$15,CRONO!$F140,0))),CRONO!AF$12,OFFSET(CÁLCULO!$AB$15:$AL$15,$F140,0,OFFSET(ORÇAMENTO!$D$15,CRONO!$F140,0)))
                +IF(AND($F142&lt;&gt;"",$F142&lt;&gt;0),
                        SUMIF(CÁLCULO!$AM$15:$AW$44,CRONO!AF$12,CÁLCULO!$AB$15:$AL$44)/(ORÇAMENTO!$X$15-CÁLCULO.TotalAdmLocal)*CRONO!$F142,
                        0),
                 AF141*$S140),
          SUMIF(OFFSET($S142,1,0,$R140-2),($M140+1)&amp;"$",OFFSET(AF142,1,0,$R140-2)))</f>
        <v>0</v>
      </c>
      <c r="AG142" s="534"/>
    </row>
    <row r="143" spans="1:33" x14ac:dyDescent="0.2">
      <c r="A143" s="186" t="str">
        <f t="shared" ref="A143" ca="1" si="260">IF($M143&gt;1,_xlfn.CONCAT($I143," ",$J143),"")</f>
        <v/>
      </c>
      <c r="B143" s="185">
        <f t="shared" ref="B143" ca="1" si="261">OFFSET(B143,-3,0)+1</f>
        <v>44</v>
      </c>
      <c r="C143" s="185">
        <f ca="1">IF($R143&lt;&gt;2,0,IF($S143=0,1,IF(F144&gt;0,OFFSET(QCI!$M$13,SUBSTITUTE(F144,".",""),0),OFFSET(ORÇAMENTO!$AA$15,CRONO!$F143,0))/$S143))</f>
        <v>0</v>
      </c>
      <c r="D143" s="185">
        <f ca="1">IF($R143&lt;&gt;2,0,IF($S143=0,1,IF(F144&gt;0,OFFSET(QCI!$N$13,SUBSTITUTE(F144,".",""),0),OFFSET(ORÇAMENTO!$AB$15,CRONO!$F143,0))/$S143))</f>
        <v>0</v>
      </c>
      <c r="E143" s="188" t="e" cm="1">
        <f t="array" aca="1" ref="E143" ca="1">IF(AND($R143=2,ACOMPANHAMENTO="BM"),ROUND(E144,4),E145/$S143)</f>
        <v>#VALUE!</v>
      </c>
      <c r="F143" s="185" t="e" cm="1">
        <f t="array" aca="1" ref="F143" ca="1">IF(B143&lt;=ORÇAMENTO.MáximoListaCrono,MATCH(B143,ORÇAMENTO.ListaCrono,0),NA())</f>
        <v>#N/A</v>
      </c>
      <c r="G143" s="185" t="str">
        <f t="shared" ref="G143" ca="1" si="262">IF(AND($F144&lt;&gt;-1,$S143&gt;0),"F","")</f>
        <v/>
      </c>
      <c r="H143" s="189" t="str" cm="1">
        <f t="array" aca="1" ref="H143" ca="1">IF(OR(S143=0,S143=""),"Linha",IF(AND(OR(ACOMPANHAMENTO="PLE",$R143&lt;&gt;2),$F144=0),"Linha",ROUND(1-SUM(U143:AG143),4)))</f>
        <v>Linha</v>
      </c>
      <c r="I143" s="190" t="str">
        <f ca="1">IF($F144=0,OFFSET(ORÇAMENTO!O$15,$F143,0),IF($F144&lt;&gt;-1,OFFSET(QCI!$D$13,$F144,0),""))</f>
        <v/>
      </c>
      <c r="J143" s="191" t="str">
        <f ca="1">IF($F144=0,OFFSET(ORÇAMENTO!R$15,$F143,0),IF($F144&lt;&gt;-1,OFFSET(QCI!$G$13,$F144,0),""))</f>
        <v/>
      </c>
      <c r="K143" s="191"/>
      <c r="L143" s="191"/>
      <c r="M143" s="192">
        <f ca="1">IF($F144=0,OFFSET(ORÇAMENTO!C$15,$F143,0),1)</f>
        <v>1</v>
      </c>
      <c r="N143" s="193">
        <f ca="1">IF($F144=-1,0,IF(N$13&lt;=$M143,IF(ISERROR(MATCH(N$13,OFFSET($M143,1,0,ROW($M$164)-ROW($M143)-1),0)),ROW($M$164)-ROW($M143)-1,MATCH(N$13,OFFSET($M143,1,0,ROW($M$164)-ROW($M143)-1),0)-1),0))</f>
        <v>0</v>
      </c>
      <c r="O143" s="193">
        <f ca="1">IF($F144=-1,0,IF(O$13&lt;=$M143,IF(ISERROR(MATCH(O$13,OFFSET($M143,1,0,ROW($M$164)-ROW($M143)-1),0)),ROW($M$164)-ROW($M143)-1,MATCH(O$13,OFFSET($M143,1,0,ROW($M$164)-ROW($M143)-1),0)-1),0))</f>
        <v>0</v>
      </c>
      <c r="P143" s="193">
        <f ca="1">IF($F144=-1,0,IF(P$13&lt;=$M143,IF(ISERROR(MATCH(P$13,OFFSET($M143,1,0,ROW($M$164)-ROW($M143)-1),0)),ROW($M$164)-ROW($M143)-1,MATCH(P$13,OFFSET($M143,1,0,ROW($M$164)-ROW($M143)-1),0)-1),0))</f>
        <v>0</v>
      </c>
      <c r="Q143" s="193">
        <f ca="1">IF($F144=-1,0,IF(Q$13&lt;=$M143,IF(ISERROR(MATCH(Q$13,OFFSET($M143,1,0,ROW($M$164)-ROW($M143)-1),0)),ROW($M$164)-ROW($M143)-1,MATCH(Q$13,OFFSET($M143,1,0,ROW($M$164)-ROW($M143)-1),0)-1),0))</f>
        <v>0</v>
      </c>
      <c r="R143" s="193">
        <f t="shared" ref="R143" ca="1" si="263">MIN(OFFSET(M143,0,1,,M143))</f>
        <v>0</v>
      </c>
      <c r="S143" s="194" t="str">
        <f ca="1">IF($F144=0,OFFSET(ORÇAMENTO!X$15,$F143,0),IF($F144&lt;&gt;-1,OFFSET(QCI!$O$13,$F144,0),""))</f>
        <v/>
      </c>
      <c r="T143" s="195" t="s">
        <v>785</v>
      </c>
      <c r="U143" s="188" t="e" cm="1">
        <f t="array" aca="1" ref="U143" ca="1">IF(AND($R143=2,ACOMPANHAMENTO="BM"),ROUND(U144,4),U145/$S143)</f>
        <v>#VALUE!</v>
      </c>
      <c r="V143" s="188" t="e" cm="1">
        <f t="array" aca="1" ref="V143" ca="1">IF(AND($R143=2,ACOMPANHAMENTO="BM"),ROUND(V144,4),V145/$S143)</f>
        <v>#VALUE!</v>
      </c>
      <c r="W143" s="188" t="e" cm="1">
        <f t="array" aca="1" ref="W143" ca="1">IF(AND($R143=2,ACOMPANHAMENTO="BM"),ROUND(W144,4),W145/$S143)</f>
        <v>#VALUE!</v>
      </c>
      <c r="X143" s="188" t="e" cm="1">
        <f t="array" aca="1" ref="X143" ca="1">IF(AND($R143=2,ACOMPANHAMENTO="BM"),ROUND(X144,4),X145/$S143)</f>
        <v>#VALUE!</v>
      </c>
      <c r="Y143" s="188" t="e" cm="1">
        <f t="array" aca="1" ref="Y143" ca="1">IF(AND($R143=2,ACOMPANHAMENTO="BM"),ROUND(Y144,4),Y145/$S143)</f>
        <v>#VALUE!</v>
      </c>
      <c r="Z143" s="188" t="e" cm="1">
        <f t="array" aca="1" ref="Z143" ca="1">IF(AND($R143=2,ACOMPANHAMENTO="BM"),ROUND(Z144,4),Z145/$S143)</f>
        <v>#VALUE!</v>
      </c>
      <c r="AA143" s="188" t="e" cm="1">
        <f t="array" aca="1" ref="AA143" ca="1">IF(AND($R143=2,ACOMPANHAMENTO="BM"),ROUND(AA144,4),AA145/$S143)</f>
        <v>#VALUE!</v>
      </c>
      <c r="AB143" s="188" t="e" cm="1">
        <f t="array" aca="1" ref="AB143" ca="1">IF(AND($R143=2,ACOMPANHAMENTO="BM"),ROUND(AB144,4),AB145/$S143)</f>
        <v>#VALUE!</v>
      </c>
      <c r="AC143" s="188" t="e" cm="1">
        <f t="array" aca="1" ref="AC143" ca="1">IF(AND($R143=2,ACOMPANHAMENTO="BM"),ROUND(AC144,4),AC145/$S143)</f>
        <v>#VALUE!</v>
      </c>
      <c r="AD143" s="188" t="e" cm="1">
        <f t="array" aca="1" ref="AD143" ca="1">IF(AND($R143=2,ACOMPANHAMENTO="BM"),ROUND(AD144,4),AD145/$S143)</f>
        <v>#VALUE!</v>
      </c>
      <c r="AE143" s="188" t="e" cm="1">
        <f t="array" aca="1" ref="AE143" ca="1">IF(AND($R143=2,ACOMPANHAMENTO="BM"),ROUND(AE144,4),AE145/$S143)</f>
        <v>#VALUE!</v>
      </c>
      <c r="AF143" s="188" t="e" cm="1">
        <f t="array" aca="1" ref="AF143" ca="1">IF(AND($R143=2,ACOMPANHAMENTO="BM"),ROUND(AF144,4),AF145/$S143)</f>
        <v>#VALUE!</v>
      </c>
      <c r="AG143" s="534"/>
    </row>
    <row r="144" spans="1:33" ht="12.75" customHeight="1" x14ac:dyDescent="0.2">
      <c r="E144" s="587"/>
      <c r="F144" s="185">
        <f ca="1">IF(ISERROR(F143),IF(1+COUNTIF($M$13:OFFSET(M143,-1,0),1)&lt;=MAX(QCI!$D$13:$D$24),1+COUNTIF($M$13:OFFSET(M143,-1,0),1),-1),0)</f>
        <v>-1</v>
      </c>
      <c r="G144" s="185" t="str" cm="1">
        <f t="array" aca="1" ref="G144" ca="1">IF(ACOMPANHAMENTO="BM",OFFSET(G144,-1,0),"")</f>
        <v/>
      </c>
      <c r="H144" s="196" t="str" cm="1">
        <f t="array" aca="1" ref="H144" ca="1">IF(OR(S143=0,S143=""),"vazia",IF(AND(OR(ACOMPANHAMENTO="PLE",$R143&lt;&gt;2),$F144=0),"calculada","--&gt;"))</f>
        <v>vazia</v>
      </c>
      <c r="I144" s="197"/>
      <c r="J144" s="198" t="str">
        <f t="shared" ref="J144" ca="1" si="264">IF(AND(H143&lt;&gt;0,ISNUMBER(H143)),"PREENCHA ESTA LINHA --&gt;","")</f>
        <v/>
      </c>
      <c r="K144" s="198"/>
      <c r="L144" s="198"/>
      <c r="M144" s="199"/>
      <c r="N144" s="199"/>
      <c r="O144" s="199"/>
      <c r="P144" s="199"/>
      <c r="Q144" s="199"/>
      <c r="R144" s="199"/>
      <c r="S144" s="200"/>
      <c r="T144" s="201"/>
      <c r="U144" s="587"/>
      <c r="V144" s="587"/>
      <c r="W144" s="587"/>
      <c r="X144" s="587"/>
      <c r="Y144" s="587"/>
      <c r="Z144" s="587"/>
      <c r="AA144" s="587"/>
      <c r="AB144" s="587"/>
      <c r="AC144" s="587"/>
      <c r="AD144" s="587"/>
      <c r="AE144" s="587"/>
      <c r="AF144" s="587"/>
      <c r="AG144" s="534"/>
    </row>
    <row r="145" spans="1:33" ht="12.75" customHeight="1" x14ac:dyDescent="0.2">
      <c r="D145" s="533"/>
      <c r="E145" s="202" cm="1">
        <f t="array" aca="1" ref="E145" ca="1">IF($R143=2,
         IF(AND(ACOMPANHAMENTO="PLE",ISNUMBER($F143)),
                SUMIF((OFFSET(CÁLCULO!$AM$15:$AW$15,$F143,0,OFFSET(ORÇAMENTO!$D$15,CRONO!$F143,0))),CRONO!E$12,OFFSET(CÁLCULO!$AB$15:$AL$15,$F143,0,OFFSET(ORÇAMENTO!$D$15,CRONO!$F143,0)))
                +IF(AND($F145&lt;&gt;"",$F145&lt;&gt;0),
                        SUMIF(CÁLCULO!$AM$15:$AW$44,CRONO!E$12,CÁLCULO!$AB$15:$AL$44)/(ORÇAMENTO!$X$15-CÁLCULO.TotalAdmLocal)*CRONO!$F145,
                        0),
                 E144*$S143),
          SUMIF(OFFSET($S145,1,0,$R143-2),($M143+1)&amp;"$",OFFSET(E145,1,0,$R143-2)))</f>
        <v>0</v>
      </c>
      <c r="F145" s="185" t="str">
        <f ca="1">IF(OR($R143&lt;&gt;2,AUTOEVENTO&lt;&gt;"manual",$F144&gt;0),"",
        IF(Import.TipoArredondamento="Tradicional",
              SUMIF(OFFSET(CÁLCULO!$M$15,CRONO!$F143,0,OFFSET(ORÇAMENTO!$D$15,CRONO!$F143,0)),1,OFFSET(ORÇAMENTO!$X$15,CRONO!$F143,0,OFFSET(ORÇAMENTO!$D$15,CRONO!$F143,0))),
              0))</f>
        <v/>
      </c>
      <c r="H145" s="203"/>
      <c r="S145" s="204" t="str">
        <f t="shared" ref="S145" ca="1" si="265">M143&amp;"$"</f>
        <v>1$</v>
      </c>
      <c r="T145" s="205"/>
      <c r="U145" s="202" cm="1">
        <f t="array" aca="1" ref="U145" ca="1">IF($R143=2,
         IF(AND(ACOMPANHAMENTO="PLE",ISNUMBER($F143)),
                SUMIF((OFFSET(CÁLCULO!$AM$15:$AW$15,$F143,0,OFFSET(ORÇAMENTO!$D$15,CRONO!$F143,0))),CRONO!U$12,OFFSET(CÁLCULO!$AB$15:$AL$15,$F143,0,OFFSET(ORÇAMENTO!$D$15,CRONO!$F143,0)))
                +IF(AND($F145&lt;&gt;"",$F145&lt;&gt;0),
                        SUMIF(CÁLCULO!$AM$15:$AW$44,CRONO!U$12,CÁLCULO!$AB$15:$AL$44)/(ORÇAMENTO!$X$15-CÁLCULO.TotalAdmLocal)*CRONO!$F145,
                        0),
                 U144*$S143),
          SUMIF(OFFSET($S145,1,0,$R143-2),($M143+1)&amp;"$",OFFSET(U145,1,0,$R143-2)))</f>
        <v>0</v>
      </c>
      <c r="V145" s="202" cm="1">
        <f t="array" aca="1" ref="V145" ca="1">IF($R143=2,
         IF(AND(ACOMPANHAMENTO="PLE",ISNUMBER($F143)),
                SUMIF((OFFSET(CÁLCULO!$AM$15:$AW$15,$F143,0,OFFSET(ORÇAMENTO!$D$15,CRONO!$F143,0))),CRONO!V$12,OFFSET(CÁLCULO!$AB$15:$AL$15,$F143,0,OFFSET(ORÇAMENTO!$D$15,CRONO!$F143,0)))
                +IF(AND($F145&lt;&gt;"",$F145&lt;&gt;0),
                        SUMIF(CÁLCULO!$AM$15:$AW$44,CRONO!V$12,CÁLCULO!$AB$15:$AL$44)/(ORÇAMENTO!$X$15-CÁLCULO.TotalAdmLocal)*CRONO!$F145,
                        0),
                 V144*$S143),
          SUMIF(OFFSET($S145,1,0,$R143-2),($M143+1)&amp;"$",OFFSET(V145,1,0,$R143-2)))</f>
        <v>0</v>
      </c>
      <c r="W145" s="202" cm="1">
        <f t="array" aca="1" ref="W145" ca="1">IF($R143=2,
         IF(AND(ACOMPANHAMENTO="PLE",ISNUMBER($F143)),
                SUMIF((OFFSET(CÁLCULO!$AM$15:$AW$15,$F143,0,OFFSET(ORÇAMENTO!$D$15,CRONO!$F143,0))),CRONO!W$12,OFFSET(CÁLCULO!$AB$15:$AL$15,$F143,0,OFFSET(ORÇAMENTO!$D$15,CRONO!$F143,0)))
                +IF(AND($F145&lt;&gt;"",$F145&lt;&gt;0),
                        SUMIF(CÁLCULO!$AM$15:$AW$44,CRONO!W$12,CÁLCULO!$AB$15:$AL$44)/(ORÇAMENTO!$X$15-CÁLCULO.TotalAdmLocal)*CRONO!$F145,
                        0),
                 W144*$S143),
          SUMIF(OFFSET($S145,1,0,$R143-2),($M143+1)&amp;"$",OFFSET(W145,1,0,$R143-2)))</f>
        <v>0</v>
      </c>
      <c r="X145" s="202" cm="1">
        <f t="array" aca="1" ref="X145" ca="1">IF($R143=2,
         IF(AND(ACOMPANHAMENTO="PLE",ISNUMBER($F143)),
                SUMIF((OFFSET(CÁLCULO!$AM$15:$AW$15,$F143,0,OFFSET(ORÇAMENTO!$D$15,CRONO!$F143,0))),CRONO!X$12,OFFSET(CÁLCULO!$AB$15:$AL$15,$F143,0,OFFSET(ORÇAMENTO!$D$15,CRONO!$F143,0)))
                +IF(AND($F145&lt;&gt;"",$F145&lt;&gt;0),
                        SUMIF(CÁLCULO!$AM$15:$AW$44,CRONO!X$12,CÁLCULO!$AB$15:$AL$44)/(ORÇAMENTO!$X$15-CÁLCULO.TotalAdmLocal)*CRONO!$F145,
                        0),
                 X144*$S143),
          SUMIF(OFFSET($S145,1,0,$R143-2),($M143+1)&amp;"$",OFFSET(X145,1,0,$R143-2)))</f>
        <v>0</v>
      </c>
      <c r="Y145" s="202" cm="1">
        <f t="array" aca="1" ref="Y145" ca="1">IF($R143=2,
         IF(AND(ACOMPANHAMENTO="PLE",ISNUMBER($F143)),
                SUMIF((OFFSET(CÁLCULO!$AM$15:$AW$15,$F143,0,OFFSET(ORÇAMENTO!$D$15,CRONO!$F143,0))),CRONO!Y$12,OFFSET(CÁLCULO!$AB$15:$AL$15,$F143,0,OFFSET(ORÇAMENTO!$D$15,CRONO!$F143,0)))
                +IF(AND($F145&lt;&gt;"",$F145&lt;&gt;0),
                        SUMIF(CÁLCULO!$AM$15:$AW$44,CRONO!Y$12,CÁLCULO!$AB$15:$AL$44)/(ORÇAMENTO!$X$15-CÁLCULO.TotalAdmLocal)*CRONO!$F145,
                        0),
                 Y144*$S143),
          SUMIF(OFFSET($S145,1,0,$R143-2),($M143+1)&amp;"$",OFFSET(Y145,1,0,$R143-2)))</f>
        <v>0</v>
      </c>
      <c r="Z145" s="202" cm="1">
        <f t="array" aca="1" ref="Z145" ca="1">IF($R143=2,
         IF(AND(ACOMPANHAMENTO="PLE",ISNUMBER($F143)),
                SUMIF((OFFSET(CÁLCULO!$AM$15:$AW$15,$F143,0,OFFSET(ORÇAMENTO!$D$15,CRONO!$F143,0))),CRONO!Z$12,OFFSET(CÁLCULO!$AB$15:$AL$15,$F143,0,OFFSET(ORÇAMENTO!$D$15,CRONO!$F143,0)))
                +IF(AND($F145&lt;&gt;"",$F145&lt;&gt;0),
                        SUMIF(CÁLCULO!$AM$15:$AW$44,CRONO!Z$12,CÁLCULO!$AB$15:$AL$44)/(ORÇAMENTO!$X$15-CÁLCULO.TotalAdmLocal)*CRONO!$F145,
                        0),
                 Z144*$S143),
          SUMIF(OFFSET($S145,1,0,$R143-2),($M143+1)&amp;"$",OFFSET(Z145,1,0,$R143-2)))</f>
        <v>0</v>
      </c>
      <c r="AA145" s="202" cm="1">
        <f t="array" aca="1" ref="AA145" ca="1">IF($R143=2,
         IF(AND(ACOMPANHAMENTO="PLE",ISNUMBER($F143)),
                SUMIF((OFFSET(CÁLCULO!$AM$15:$AW$15,$F143,0,OFFSET(ORÇAMENTO!$D$15,CRONO!$F143,0))),CRONO!AA$12,OFFSET(CÁLCULO!$AB$15:$AL$15,$F143,0,OFFSET(ORÇAMENTO!$D$15,CRONO!$F143,0)))
                +IF(AND($F145&lt;&gt;"",$F145&lt;&gt;0),
                        SUMIF(CÁLCULO!$AM$15:$AW$44,CRONO!AA$12,CÁLCULO!$AB$15:$AL$44)/(ORÇAMENTO!$X$15-CÁLCULO.TotalAdmLocal)*CRONO!$F145,
                        0),
                 AA144*$S143),
          SUMIF(OFFSET($S145,1,0,$R143-2),($M143+1)&amp;"$",OFFSET(AA145,1,0,$R143-2)))</f>
        <v>0</v>
      </c>
      <c r="AB145" s="202" cm="1">
        <f t="array" aca="1" ref="AB145" ca="1">IF($R143=2,
         IF(AND(ACOMPANHAMENTO="PLE",ISNUMBER($F143)),
                SUMIF((OFFSET(CÁLCULO!$AM$15:$AW$15,$F143,0,OFFSET(ORÇAMENTO!$D$15,CRONO!$F143,0))),CRONO!AB$12,OFFSET(CÁLCULO!$AB$15:$AL$15,$F143,0,OFFSET(ORÇAMENTO!$D$15,CRONO!$F143,0)))
                +IF(AND($F145&lt;&gt;"",$F145&lt;&gt;0),
                        SUMIF(CÁLCULO!$AM$15:$AW$44,CRONO!AB$12,CÁLCULO!$AB$15:$AL$44)/(ORÇAMENTO!$X$15-CÁLCULO.TotalAdmLocal)*CRONO!$F145,
                        0),
                 AB144*$S143),
          SUMIF(OFFSET($S145,1,0,$R143-2),($M143+1)&amp;"$",OFFSET(AB145,1,0,$R143-2)))</f>
        <v>0</v>
      </c>
      <c r="AC145" s="202" cm="1">
        <f t="array" aca="1" ref="AC145" ca="1">IF($R143=2,
         IF(AND(ACOMPANHAMENTO="PLE",ISNUMBER($F143)),
                SUMIF((OFFSET(CÁLCULO!$AM$15:$AW$15,$F143,0,OFFSET(ORÇAMENTO!$D$15,CRONO!$F143,0))),CRONO!AC$12,OFFSET(CÁLCULO!$AB$15:$AL$15,$F143,0,OFFSET(ORÇAMENTO!$D$15,CRONO!$F143,0)))
                +IF(AND($F145&lt;&gt;"",$F145&lt;&gt;0),
                        SUMIF(CÁLCULO!$AM$15:$AW$44,CRONO!AC$12,CÁLCULO!$AB$15:$AL$44)/(ORÇAMENTO!$X$15-CÁLCULO.TotalAdmLocal)*CRONO!$F145,
                        0),
                 AC144*$S143),
          SUMIF(OFFSET($S145,1,0,$R143-2),($M143+1)&amp;"$",OFFSET(AC145,1,0,$R143-2)))</f>
        <v>0</v>
      </c>
      <c r="AD145" s="202" cm="1">
        <f t="array" aca="1" ref="AD145" ca="1">IF($R143=2,
         IF(AND(ACOMPANHAMENTO="PLE",ISNUMBER($F143)),
                SUMIF((OFFSET(CÁLCULO!$AM$15:$AW$15,$F143,0,OFFSET(ORÇAMENTO!$D$15,CRONO!$F143,0))),CRONO!AD$12,OFFSET(CÁLCULO!$AB$15:$AL$15,$F143,0,OFFSET(ORÇAMENTO!$D$15,CRONO!$F143,0)))
                +IF(AND($F145&lt;&gt;"",$F145&lt;&gt;0),
                        SUMIF(CÁLCULO!$AM$15:$AW$44,CRONO!AD$12,CÁLCULO!$AB$15:$AL$44)/(ORÇAMENTO!$X$15-CÁLCULO.TotalAdmLocal)*CRONO!$F145,
                        0),
                 AD144*$S143),
          SUMIF(OFFSET($S145,1,0,$R143-2),($M143+1)&amp;"$",OFFSET(AD145,1,0,$R143-2)))</f>
        <v>0</v>
      </c>
      <c r="AE145" s="202" cm="1">
        <f t="array" aca="1" ref="AE145" ca="1">IF($R143=2,
         IF(AND(ACOMPANHAMENTO="PLE",ISNUMBER($F143)),
                SUMIF((OFFSET(CÁLCULO!$AM$15:$AW$15,$F143,0,OFFSET(ORÇAMENTO!$D$15,CRONO!$F143,0))),CRONO!AE$12,OFFSET(CÁLCULO!$AB$15:$AL$15,$F143,0,OFFSET(ORÇAMENTO!$D$15,CRONO!$F143,0)))
                +IF(AND($F145&lt;&gt;"",$F145&lt;&gt;0),
                        SUMIF(CÁLCULO!$AM$15:$AW$44,CRONO!AE$12,CÁLCULO!$AB$15:$AL$44)/(ORÇAMENTO!$X$15-CÁLCULO.TotalAdmLocal)*CRONO!$F145,
                        0),
                 AE144*$S143),
          SUMIF(OFFSET($S145,1,0,$R143-2),($M143+1)&amp;"$",OFFSET(AE145,1,0,$R143-2)))</f>
        <v>0</v>
      </c>
      <c r="AF145" s="202" cm="1">
        <f t="array" aca="1" ref="AF145" ca="1">IF($R143=2,
         IF(AND(ACOMPANHAMENTO="PLE",ISNUMBER($F143)),
                SUMIF((OFFSET(CÁLCULO!$AM$15:$AW$15,$F143,0,OFFSET(ORÇAMENTO!$D$15,CRONO!$F143,0))),CRONO!AF$12,OFFSET(CÁLCULO!$AB$15:$AL$15,$F143,0,OFFSET(ORÇAMENTO!$D$15,CRONO!$F143,0)))
                +IF(AND($F145&lt;&gt;"",$F145&lt;&gt;0),
                        SUMIF(CÁLCULO!$AM$15:$AW$44,CRONO!AF$12,CÁLCULO!$AB$15:$AL$44)/(ORÇAMENTO!$X$15-CÁLCULO.TotalAdmLocal)*CRONO!$F145,
                        0),
                 AF144*$S143),
          SUMIF(OFFSET($S145,1,0,$R143-2),($M143+1)&amp;"$",OFFSET(AF145,1,0,$R143-2)))</f>
        <v>0</v>
      </c>
      <c r="AG145" s="534"/>
    </row>
    <row r="146" spans="1:33" x14ac:dyDescent="0.2">
      <c r="A146" s="186" t="str">
        <f t="shared" ref="A146" ca="1" si="266">IF($M146&gt;1,_xlfn.CONCAT($I146," ",$J146),"")</f>
        <v/>
      </c>
      <c r="B146" s="185">
        <f t="shared" ref="B146" ca="1" si="267">OFFSET(B146,-3,0)+1</f>
        <v>45</v>
      </c>
      <c r="C146" s="185">
        <f ca="1">IF($R146&lt;&gt;2,0,IF($S146=0,1,IF(F147&gt;0,OFFSET(QCI!$M$13,SUBSTITUTE(F147,".",""),0),OFFSET(ORÇAMENTO!$AA$15,CRONO!$F146,0))/$S146))</f>
        <v>0</v>
      </c>
      <c r="D146" s="185">
        <f ca="1">IF($R146&lt;&gt;2,0,IF($S146=0,1,IF(F147&gt;0,OFFSET(QCI!$N$13,SUBSTITUTE(F147,".",""),0),OFFSET(ORÇAMENTO!$AB$15,CRONO!$F146,0))/$S146))</f>
        <v>0</v>
      </c>
      <c r="E146" s="188" t="e" cm="1">
        <f t="array" aca="1" ref="E146" ca="1">IF(AND($R146=2,ACOMPANHAMENTO="BM"),ROUND(E147,4),E148/$S146)</f>
        <v>#VALUE!</v>
      </c>
      <c r="F146" s="185" t="e" cm="1">
        <f t="array" aca="1" ref="F146" ca="1">IF(B146&lt;=ORÇAMENTO.MáximoListaCrono,MATCH(B146,ORÇAMENTO.ListaCrono,0),NA())</f>
        <v>#N/A</v>
      </c>
      <c r="G146" s="185" t="str">
        <f t="shared" ref="G146" ca="1" si="268">IF(AND($F147&lt;&gt;-1,$S146&gt;0),"F","")</f>
        <v/>
      </c>
      <c r="H146" s="189" t="str" cm="1">
        <f t="array" aca="1" ref="H146" ca="1">IF(OR(S146=0,S146=""),"Linha",IF(AND(OR(ACOMPANHAMENTO="PLE",$R146&lt;&gt;2),$F147=0),"Linha",ROUND(1-SUM(U146:AG146),4)))</f>
        <v>Linha</v>
      </c>
      <c r="I146" s="190" t="str">
        <f ca="1">IF($F147=0,OFFSET(ORÇAMENTO!O$15,$F146,0),IF($F147&lt;&gt;-1,OFFSET(QCI!$D$13,$F147,0),""))</f>
        <v/>
      </c>
      <c r="J146" s="191" t="str">
        <f ca="1">IF($F147=0,OFFSET(ORÇAMENTO!R$15,$F146,0),IF($F147&lt;&gt;-1,OFFSET(QCI!$G$13,$F147,0),""))</f>
        <v/>
      </c>
      <c r="K146" s="191"/>
      <c r="L146" s="191"/>
      <c r="M146" s="192">
        <f ca="1">IF($F147=0,OFFSET(ORÇAMENTO!C$15,$F146,0),1)</f>
        <v>1</v>
      </c>
      <c r="N146" s="193">
        <f ca="1">IF($F147=-1,0,IF(N$13&lt;=$M146,IF(ISERROR(MATCH(N$13,OFFSET($M146,1,0,ROW($M$164)-ROW($M146)-1),0)),ROW($M$164)-ROW($M146)-1,MATCH(N$13,OFFSET($M146,1,0,ROW($M$164)-ROW($M146)-1),0)-1),0))</f>
        <v>0</v>
      </c>
      <c r="O146" s="193">
        <f ca="1">IF($F147=-1,0,IF(O$13&lt;=$M146,IF(ISERROR(MATCH(O$13,OFFSET($M146,1,0,ROW($M$164)-ROW($M146)-1),0)),ROW($M$164)-ROW($M146)-1,MATCH(O$13,OFFSET($M146,1,0,ROW($M$164)-ROW($M146)-1),0)-1),0))</f>
        <v>0</v>
      </c>
      <c r="P146" s="193">
        <f ca="1">IF($F147=-1,0,IF(P$13&lt;=$M146,IF(ISERROR(MATCH(P$13,OFFSET($M146,1,0,ROW($M$164)-ROW($M146)-1),0)),ROW($M$164)-ROW($M146)-1,MATCH(P$13,OFFSET($M146,1,0,ROW($M$164)-ROW($M146)-1),0)-1),0))</f>
        <v>0</v>
      </c>
      <c r="Q146" s="193">
        <f ca="1">IF($F147=-1,0,IF(Q$13&lt;=$M146,IF(ISERROR(MATCH(Q$13,OFFSET($M146,1,0,ROW($M$164)-ROW($M146)-1),0)),ROW($M$164)-ROW($M146)-1,MATCH(Q$13,OFFSET($M146,1,0,ROW($M$164)-ROW($M146)-1),0)-1),0))</f>
        <v>0</v>
      </c>
      <c r="R146" s="193">
        <f t="shared" ref="R146" ca="1" si="269">MIN(OFFSET(M146,0,1,,M146))</f>
        <v>0</v>
      </c>
      <c r="S146" s="194" t="str">
        <f ca="1">IF($F147=0,OFFSET(ORÇAMENTO!X$15,$F146,0),IF($F147&lt;&gt;-1,OFFSET(QCI!$O$13,$F147,0),""))</f>
        <v/>
      </c>
      <c r="T146" s="195" t="s">
        <v>785</v>
      </c>
      <c r="U146" s="188" t="e" cm="1">
        <f t="array" aca="1" ref="U146" ca="1">IF(AND($R146=2,ACOMPANHAMENTO="BM"),ROUND(U147,4),U148/$S146)</f>
        <v>#VALUE!</v>
      </c>
      <c r="V146" s="188" t="e" cm="1">
        <f t="array" aca="1" ref="V146" ca="1">IF(AND($R146=2,ACOMPANHAMENTO="BM"),ROUND(V147,4),V148/$S146)</f>
        <v>#VALUE!</v>
      </c>
      <c r="W146" s="188" t="e" cm="1">
        <f t="array" aca="1" ref="W146" ca="1">IF(AND($R146=2,ACOMPANHAMENTO="BM"),ROUND(W147,4),W148/$S146)</f>
        <v>#VALUE!</v>
      </c>
      <c r="X146" s="188" t="e" cm="1">
        <f t="array" aca="1" ref="X146" ca="1">IF(AND($R146=2,ACOMPANHAMENTO="BM"),ROUND(X147,4),X148/$S146)</f>
        <v>#VALUE!</v>
      </c>
      <c r="Y146" s="188" t="e" cm="1">
        <f t="array" aca="1" ref="Y146" ca="1">IF(AND($R146=2,ACOMPANHAMENTO="BM"),ROUND(Y147,4),Y148/$S146)</f>
        <v>#VALUE!</v>
      </c>
      <c r="Z146" s="188" t="e" cm="1">
        <f t="array" aca="1" ref="Z146" ca="1">IF(AND($R146=2,ACOMPANHAMENTO="BM"),ROUND(Z147,4),Z148/$S146)</f>
        <v>#VALUE!</v>
      </c>
      <c r="AA146" s="188" t="e" cm="1">
        <f t="array" aca="1" ref="AA146" ca="1">IF(AND($R146=2,ACOMPANHAMENTO="BM"),ROUND(AA147,4),AA148/$S146)</f>
        <v>#VALUE!</v>
      </c>
      <c r="AB146" s="188" t="e" cm="1">
        <f t="array" aca="1" ref="AB146" ca="1">IF(AND($R146=2,ACOMPANHAMENTO="BM"),ROUND(AB147,4),AB148/$S146)</f>
        <v>#VALUE!</v>
      </c>
      <c r="AC146" s="188" t="e" cm="1">
        <f t="array" aca="1" ref="AC146" ca="1">IF(AND($R146=2,ACOMPANHAMENTO="BM"),ROUND(AC147,4),AC148/$S146)</f>
        <v>#VALUE!</v>
      </c>
      <c r="AD146" s="188" t="e" cm="1">
        <f t="array" aca="1" ref="AD146" ca="1">IF(AND($R146=2,ACOMPANHAMENTO="BM"),ROUND(AD147,4),AD148/$S146)</f>
        <v>#VALUE!</v>
      </c>
      <c r="AE146" s="188" t="e" cm="1">
        <f t="array" aca="1" ref="AE146" ca="1">IF(AND($R146=2,ACOMPANHAMENTO="BM"),ROUND(AE147,4),AE148/$S146)</f>
        <v>#VALUE!</v>
      </c>
      <c r="AF146" s="188" t="e" cm="1">
        <f t="array" aca="1" ref="AF146" ca="1">IF(AND($R146=2,ACOMPANHAMENTO="BM"),ROUND(AF147,4),AF148/$S146)</f>
        <v>#VALUE!</v>
      </c>
      <c r="AG146" s="534"/>
    </row>
    <row r="147" spans="1:33" ht="12.75" customHeight="1" x14ac:dyDescent="0.2">
      <c r="E147" s="587"/>
      <c r="F147" s="185">
        <f ca="1">IF(ISERROR(F146),IF(1+COUNTIF($M$13:OFFSET(M146,-1,0),1)&lt;=MAX(QCI!$D$13:$D$24),1+COUNTIF($M$13:OFFSET(M146,-1,0),1),-1),0)</f>
        <v>-1</v>
      </c>
      <c r="G147" s="185" t="str" cm="1">
        <f t="array" aca="1" ref="G147" ca="1">IF(ACOMPANHAMENTO="BM",OFFSET(G147,-1,0),"")</f>
        <v/>
      </c>
      <c r="H147" s="196" t="str" cm="1">
        <f t="array" aca="1" ref="H147" ca="1">IF(OR(S146=0,S146=""),"vazia",IF(AND(OR(ACOMPANHAMENTO="PLE",$R146&lt;&gt;2),$F147=0),"calculada","--&gt;"))</f>
        <v>vazia</v>
      </c>
      <c r="I147" s="197"/>
      <c r="J147" s="198" t="str">
        <f t="shared" ref="J147" ca="1" si="270">IF(AND(H146&lt;&gt;0,ISNUMBER(H146)),"PREENCHA ESTA LINHA --&gt;","")</f>
        <v/>
      </c>
      <c r="K147" s="198"/>
      <c r="L147" s="198"/>
      <c r="M147" s="199"/>
      <c r="N147" s="199"/>
      <c r="O147" s="199"/>
      <c r="P147" s="199"/>
      <c r="Q147" s="199"/>
      <c r="R147" s="199"/>
      <c r="S147" s="200"/>
      <c r="T147" s="201"/>
      <c r="U147" s="587"/>
      <c r="V147" s="587"/>
      <c r="W147" s="587"/>
      <c r="X147" s="587"/>
      <c r="Y147" s="587"/>
      <c r="Z147" s="587"/>
      <c r="AA147" s="587"/>
      <c r="AB147" s="587"/>
      <c r="AC147" s="587"/>
      <c r="AD147" s="587"/>
      <c r="AE147" s="587"/>
      <c r="AF147" s="587"/>
      <c r="AG147" s="534"/>
    </row>
    <row r="148" spans="1:33" ht="12.75" customHeight="1" x14ac:dyDescent="0.2">
      <c r="D148" s="533"/>
      <c r="E148" s="202" cm="1">
        <f t="array" aca="1" ref="E148" ca="1">IF($R146=2,
         IF(AND(ACOMPANHAMENTO="PLE",ISNUMBER($F146)),
                SUMIF((OFFSET(CÁLCULO!$AM$15:$AW$15,$F146,0,OFFSET(ORÇAMENTO!$D$15,CRONO!$F146,0))),CRONO!E$12,OFFSET(CÁLCULO!$AB$15:$AL$15,$F146,0,OFFSET(ORÇAMENTO!$D$15,CRONO!$F146,0)))
                +IF(AND($F148&lt;&gt;"",$F148&lt;&gt;0),
                        SUMIF(CÁLCULO!$AM$15:$AW$44,CRONO!E$12,CÁLCULO!$AB$15:$AL$44)/(ORÇAMENTO!$X$15-CÁLCULO.TotalAdmLocal)*CRONO!$F148,
                        0),
                 E147*$S146),
          SUMIF(OFFSET($S148,1,0,$R146-2),($M146+1)&amp;"$",OFFSET(E148,1,0,$R146-2)))</f>
        <v>0</v>
      </c>
      <c r="F148" s="185" t="str">
        <f ca="1">IF(OR($R146&lt;&gt;2,AUTOEVENTO&lt;&gt;"manual",$F147&gt;0),"",
        IF(Import.TipoArredondamento="Tradicional",
              SUMIF(OFFSET(CÁLCULO!$M$15,CRONO!$F146,0,OFFSET(ORÇAMENTO!$D$15,CRONO!$F146,0)),1,OFFSET(ORÇAMENTO!$X$15,CRONO!$F146,0,OFFSET(ORÇAMENTO!$D$15,CRONO!$F146,0))),
              0))</f>
        <v/>
      </c>
      <c r="H148" s="203"/>
      <c r="S148" s="204" t="str">
        <f t="shared" ref="S148" ca="1" si="271">M146&amp;"$"</f>
        <v>1$</v>
      </c>
      <c r="T148" s="205"/>
      <c r="U148" s="202" cm="1">
        <f t="array" aca="1" ref="U148" ca="1">IF($R146=2,
         IF(AND(ACOMPANHAMENTO="PLE",ISNUMBER($F146)),
                SUMIF((OFFSET(CÁLCULO!$AM$15:$AW$15,$F146,0,OFFSET(ORÇAMENTO!$D$15,CRONO!$F146,0))),CRONO!U$12,OFFSET(CÁLCULO!$AB$15:$AL$15,$F146,0,OFFSET(ORÇAMENTO!$D$15,CRONO!$F146,0)))
                +IF(AND($F148&lt;&gt;"",$F148&lt;&gt;0),
                        SUMIF(CÁLCULO!$AM$15:$AW$44,CRONO!U$12,CÁLCULO!$AB$15:$AL$44)/(ORÇAMENTO!$X$15-CÁLCULO.TotalAdmLocal)*CRONO!$F148,
                        0),
                 U147*$S146),
          SUMIF(OFFSET($S148,1,0,$R146-2),($M146+1)&amp;"$",OFFSET(U148,1,0,$R146-2)))</f>
        <v>0</v>
      </c>
      <c r="V148" s="202" cm="1">
        <f t="array" aca="1" ref="V148" ca="1">IF($R146=2,
         IF(AND(ACOMPANHAMENTO="PLE",ISNUMBER($F146)),
                SUMIF((OFFSET(CÁLCULO!$AM$15:$AW$15,$F146,0,OFFSET(ORÇAMENTO!$D$15,CRONO!$F146,0))),CRONO!V$12,OFFSET(CÁLCULO!$AB$15:$AL$15,$F146,0,OFFSET(ORÇAMENTO!$D$15,CRONO!$F146,0)))
                +IF(AND($F148&lt;&gt;"",$F148&lt;&gt;0),
                        SUMIF(CÁLCULO!$AM$15:$AW$44,CRONO!V$12,CÁLCULO!$AB$15:$AL$44)/(ORÇAMENTO!$X$15-CÁLCULO.TotalAdmLocal)*CRONO!$F148,
                        0),
                 V147*$S146),
          SUMIF(OFFSET($S148,1,0,$R146-2),($M146+1)&amp;"$",OFFSET(V148,1,0,$R146-2)))</f>
        <v>0</v>
      </c>
      <c r="W148" s="202" cm="1">
        <f t="array" aca="1" ref="W148" ca="1">IF($R146=2,
         IF(AND(ACOMPANHAMENTO="PLE",ISNUMBER($F146)),
                SUMIF((OFFSET(CÁLCULO!$AM$15:$AW$15,$F146,0,OFFSET(ORÇAMENTO!$D$15,CRONO!$F146,0))),CRONO!W$12,OFFSET(CÁLCULO!$AB$15:$AL$15,$F146,0,OFFSET(ORÇAMENTO!$D$15,CRONO!$F146,0)))
                +IF(AND($F148&lt;&gt;"",$F148&lt;&gt;0),
                        SUMIF(CÁLCULO!$AM$15:$AW$44,CRONO!W$12,CÁLCULO!$AB$15:$AL$44)/(ORÇAMENTO!$X$15-CÁLCULO.TotalAdmLocal)*CRONO!$F148,
                        0),
                 W147*$S146),
          SUMIF(OFFSET($S148,1,0,$R146-2),($M146+1)&amp;"$",OFFSET(W148,1,0,$R146-2)))</f>
        <v>0</v>
      </c>
      <c r="X148" s="202" cm="1">
        <f t="array" aca="1" ref="X148" ca="1">IF($R146=2,
         IF(AND(ACOMPANHAMENTO="PLE",ISNUMBER($F146)),
                SUMIF((OFFSET(CÁLCULO!$AM$15:$AW$15,$F146,0,OFFSET(ORÇAMENTO!$D$15,CRONO!$F146,0))),CRONO!X$12,OFFSET(CÁLCULO!$AB$15:$AL$15,$F146,0,OFFSET(ORÇAMENTO!$D$15,CRONO!$F146,0)))
                +IF(AND($F148&lt;&gt;"",$F148&lt;&gt;0),
                        SUMIF(CÁLCULO!$AM$15:$AW$44,CRONO!X$12,CÁLCULO!$AB$15:$AL$44)/(ORÇAMENTO!$X$15-CÁLCULO.TotalAdmLocal)*CRONO!$F148,
                        0),
                 X147*$S146),
          SUMIF(OFFSET($S148,1,0,$R146-2),($M146+1)&amp;"$",OFFSET(X148,1,0,$R146-2)))</f>
        <v>0</v>
      </c>
      <c r="Y148" s="202" cm="1">
        <f t="array" aca="1" ref="Y148" ca="1">IF($R146=2,
         IF(AND(ACOMPANHAMENTO="PLE",ISNUMBER($F146)),
                SUMIF((OFFSET(CÁLCULO!$AM$15:$AW$15,$F146,0,OFFSET(ORÇAMENTO!$D$15,CRONO!$F146,0))),CRONO!Y$12,OFFSET(CÁLCULO!$AB$15:$AL$15,$F146,0,OFFSET(ORÇAMENTO!$D$15,CRONO!$F146,0)))
                +IF(AND($F148&lt;&gt;"",$F148&lt;&gt;0),
                        SUMIF(CÁLCULO!$AM$15:$AW$44,CRONO!Y$12,CÁLCULO!$AB$15:$AL$44)/(ORÇAMENTO!$X$15-CÁLCULO.TotalAdmLocal)*CRONO!$F148,
                        0),
                 Y147*$S146),
          SUMIF(OFFSET($S148,1,0,$R146-2),($M146+1)&amp;"$",OFFSET(Y148,1,0,$R146-2)))</f>
        <v>0</v>
      </c>
      <c r="Z148" s="202" cm="1">
        <f t="array" aca="1" ref="Z148" ca="1">IF($R146=2,
         IF(AND(ACOMPANHAMENTO="PLE",ISNUMBER($F146)),
                SUMIF((OFFSET(CÁLCULO!$AM$15:$AW$15,$F146,0,OFFSET(ORÇAMENTO!$D$15,CRONO!$F146,0))),CRONO!Z$12,OFFSET(CÁLCULO!$AB$15:$AL$15,$F146,0,OFFSET(ORÇAMENTO!$D$15,CRONO!$F146,0)))
                +IF(AND($F148&lt;&gt;"",$F148&lt;&gt;0),
                        SUMIF(CÁLCULO!$AM$15:$AW$44,CRONO!Z$12,CÁLCULO!$AB$15:$AL$44)/(ORÇAMENTO!$X$15-CÁLCULO.TotalAdmLocal)*CRONO!$F148,
                        0),
                 Z147*$S146),
          SUMIF(OFFSET($S148,1,0,$R146-2),($M146+1)&amp;"$",OFFSET(Z148,1,0,$R146-2)))</f>
        <v>0</v>
      </c>
      <c r="AA148" s="202" cm="1">
        <f t="array" aca="1" ref="AA148" ca="1">IF($R146=2,
         IF(AND(ACOMPANHAMENTO="PLE",ISNUMBER($F146)),
                SUMIF((OFFSET(CÁLCULO!$AM$15:$AW$15,$F146,0,OFFSET(ORÇAMENTO!$D$15,CRONO!$F146,0))),CRONO!AA$12,OFFSET(CÁLCULO!$AB$15:$AL$15,$F146,0,OFFSET(ORÇAMENTO!$D$15,CRONO!$F146,0)))
                +IF(AND($F148&lt;&gt;"",$F148&lt;&gt;0),
                        SUMIF(CÁLCULO!$AM$15:$AW$44,CRONO!AA$12,CÁLCULO!$AB$15:$AL$44)/(ORÇAMENTO!$X$15-CÁLCULO.TotalAdmLocal)*CRONO!$F148,
                        0),
                 AA147*$S146),
          SUMIF(OFFSET($S148,1,0,$R146-2),($M146+1)&amp;"$",OFFSET(AA148,1,0,$R146-2)))</f>
        <v>0</v>
      </c>
      <c r="AB148" s="202" cm="1">
        <f t="array" aca="1" ref="AB148" ca="1">IF($R146=2,
         IF(AND(ACOMPANHAMENTO="PLE",ISNUMBER($F146)),
                SUMIF((OFFSET(CÁLCULO!$AM$15:$AW$15,$F146,0,OFFSET(ORÇAMENTO!$D$15,CRONO!$F146,0))),CRONO!AB$12,OFFSET(CÁLCULO!$AB$15:$AL$15,$F146,0,OFFSET(ORÇAMENTO!$D$15,CRONO!$F146,0)))
                +IF(AND($F148&lt;&gt;"",$F148&lt;&gt;0),
                        SUMIF(CÁLCULO!$AM$15:$AW$44,CRONO!AB$12,CÁLCULO!$AB$15:$AL$44)/(ORÇAMENTO!$X$15-CÁLCULO.TotalAdmLocal)*CRONO!$F148,
                        0),
                 AB147*$S146),
          SUMIF(OFFSET($S148,1,0,$R146-2),($M146+1)&amp;"$",OFFSET(AB148,1,0,$R146-2)))</f>
        <v>0</v>
      </c>
      <c r="AC148" s="202" cm="1">
        <f t="array" aca="1" ref="AC148" ca="1">IF($R146=2,
         IF(AND(ACOMPANHAMENTO="PLE",ISNUMBER($F146)),
                SUMIF((OFFSET(CÁLCULO!$AM$15:$AW$15,$F146,0,OFFSET(ORÇAMENTO!$D$15,CRONO!$F146,0))),CRONO!AC$12,OFFSET(CÁLCULO!$AB$15:$AL$15,$F146,0,OFFSET(ORÇAMENTO!$D$15,CRONO!$F146,0)))
                +IF(AND($F148&lt;&gt;"",$F148&lt;&gt;0),
                        SUMIF(CÁLCULO!$AM$15:$AW$44,CRONO!AC$12,CÁLCULO!$AB$15:$AL$44)/(ORÇAMENTO!$X$15-CÁLCULO.TotalAdmLocal)*CRONO!$F148,
                        0),
                 AC147*$S146),
          SUMIF(OFFSET($S148,1,0,$R146-2),($M146+1)&amp;"$",OFFSET(AC148,1,0,$R146-2)))</f>
        <v>0</v>
      </c>
      <c r="AD148" s="202" cm="1">
        <f t="array" aca="1" ref="AD148" ca="1">IF($R146=2,
         IF(AND(ACOMPANHAMENTO="PLE",ISNUMBER($F146)),
                SUMIF((OFFSET(CÁLCULO!$AM$15:$AW$15,$F146,0,OFFSET(ORÇAMENTO!$D$15,CRONO!$F146,0))),CRONO!AD$12,OFFSET(CÁLCULO!$AB$15:$AL$15,$F146,0,OFFSET(ORÇAMENTO!$D$15,CRONO!$F146,0)))
                +IF(AND($F148&lt;&gt;"",$F148&lt;&gt;0),
                        SUMIF(CÁLCULO!$AM$15:$AW$44,CRONO!AD$12,CÁLCULO!$AB$15:$AL$44)/(ORÇAMENTO!$X$15-CÁLCULO.TotalAdmLocal)*CRONO!$F148,
                        0),
                 AD147*$S146),
          SUMIF(OFFSET($S148,1,0,$R146-2),($M146+1)&amp;"$",OFFSET(AD148,1,0,$R146-2)))</f>
        <v>0</v>
      </c>
      <c r="AE148" s="202" cm="1">
        <f t="array" aca="1" ref="AE148" ca="1">IF($R146=2,
         IF(AND(ACOMPANHAMENTO="PLE",ISNUMBER($F146)),
                SUMIF((OFFSET(CÁLCULO!$AM$15:$AW$15,$F146,0,OFFSET(ORÇAMENTO!$D$15,CRONO!$F146,0))),CRONO!AE$12,OFFSET(CÁLCULO!$AB$15:$AL$15,$F146,0,OFFSET(ORÇAMENTO!$D$15,CRONO!$F146,0)))
                +IF(AND($F148&lt;&gt;"",$F148&lt;&gt;0),
                        SUMIF(CÁLCULO!$AM$15:$AW$44,CRONO!AE$12,CÁLCULO!$AB$15:$AL$44)/(ORÇAMENTO!$X$15-CÁLCULO.TotalAdmLocal)*CRONO!$F148,
                        0),
                 AE147*$S146),
          SUMIF(OFFSET($S148,1,0,$R146-2),($M146+1)&amp;"$",OFFSET(AE148,1,0,$R146-2)))</f>
        <v>0</v>
      </c>
      <c r="AF148" s="202" cm="1">
        <f t="array" aca="1" ref="AF148" ca="1">IF($R146=2,
         IF(AND(ACOMPANHAMENTO="PLE",ISNUMBER($F146)),
                SUMIF((OFFSET(CÁLCULO!$AM$15:$AW$15,$F146,0,OFFSET(ORÇAMENTO!$D$15,CRONO!$F146,0))),CRONO!AF$12,OFFSET(CÁLCULO!$AB$15:$AL$15,$F146,0,OFFSET(ORÇAMENTO!$D$15,CRONO!$F146,0)))
                +IF(AND($F148&lt;&gt;"",$F148&lt;&gt;0),
                        SUMIF(CÁLCULO!$AM$15:$AW$44,CRONO!AF$12,CÁLCULO!$AB$15:$AL$44)/(ORÇAMENTO!$X$15-CÁLCULO.TotalAdmLocal)*CRONO!$F148,
                        0),
                 AF147*$S146),
          SUMIF(OFFSET($S148,1,0,$R146-2),($M146+1)&amp;"$",OFFSET(AF148,1,0,$R146-2)))</f>
        <v>0</v>
      </c>
      <c r="AG148" s="534"/>
    </row>
    <row r="149" spans="1:33" x14ac:dyDescent="0.2">
      <c r="A149" s="186" t="str">
        <f t="shared" ref="A149" ca="1" si="272">IF($M149&gt;1,_xlfn.CONCAT($I149," ",$J149),"")</f>
        <v/>
      </c>
      <c r="B149" s="185">
        <f t="shared" ref="B149" ca="1" si="273">OFFSET(B149,-3,0)+1</f>
        <v>46</v>
      </c>
      <c r="C149" s="185">
        <f ca="1">IF($R149&lt;&gt;2,0,IF($S149=0,1,IF(F150&gt;0,OFFSET(QCI!$M$13,SUBSTITUTE(F150,".",""),0),OFFSET(ORÇAMENTO!$AA$15,CRONO!$F149,0))/$S149))</f>
        <v>0</v>
      </c>
      <c r="D149" s="185">
        <f ca="1">IF($R149&lt;&gt;2,0,IF($S149=0,1,IF(F150&gt;0,OFFSET(QCI!$N$13,SUBSTITUTE(F150,".",""),0),OFFSET(ORÇAMENTO!$AB$15,CRONO!$F149,0))/$S149))</f>
        <v>0</v>
      </c>
      <c r="E149" s="188" t="e" cm="1">
        <f t="array" aca="1" ref="E149" ca="1">IF(AND($R149=2,ACOMPANHAMENTO="BM"),ROUND(E150,4),E151/$S149)</f>
        <v>#VALUE!</v>
      </c>
      <c r="F149" s="185" t="e" cm="1">
        <f t="array" aca="1" ref="F149" ca="1">IF(B149&lt;=ORÇAMENTO.MáximoListaCrono,MATCH(B149,ORÇAMENTO.ListaCrono,0),NA())</f>
        <v>#N/A</v>
      </c>
      <c r="G149" s="185" t="str">
        <f t="shared" ref="G149" ca="1" si="274">IF(AND($F150&lt;&gt;-1,$S149&gt;0),"F","")</f>
        <v/>
      </c>
      <c r="H149" s="189" t="str" cm="1">
        <f t="array" aca="1" ref="H149" ca="1">IF(OR(S149=0,S149=""),"Linha",IF(AND(OR(ACOMPANHAMENTO="PLE",$R149&lt;&gt;2),$F150=0),"Linha",ROUND(1-SUM(U149:AG149),4)))</f>
        <v>Linha</v>
      </c>
      <c r="I149" s="190" t="str">
        <f ca="1">IF($F150=0,OFFSET(ORÇAMENTO!O$15,$F149,0),IF($F150&lt;&gt;-1,OFFSET(QCI!$D$13,$F150,0),""))</f>
        <v/>
      </c>
      <c r="J149" s="191" t="str">
        <f ca="1">IF($F150=0,OFFSET(ORÇAMENTO!R$15,$F149,0),IF($F150&lt;&gt;-1,OFFSET(QCI!$G$13,$F150,0),""))</f>
        <v/>
      </c>
      <c r="K149" s="191"/>
      <c r="L149" s="191"/>
      <c r="M149" s="192">
        <f ca="1">IF($F150=0,OFFSET(ORÇAMENTO!C$15,$F149,0),1)</f>
        <v>1</v>
      </c>
      <c r="N149" s="193">
        <f ca="1">IF($F150=-1,0,IF(N$13&lt;=$M149,IF(ISERROR(MATCH(N$13,OFFSET($M149,1,0,ROW($M$164)-ROW($M149)-1),0)),ROW($M$164)-ROW($M149)-1,MATCH(N$13,OFFSET($M149,1,0,ROW($M$164)-ROW($M149)-1),0)-1),0))</f>
        <v>0</v>
      </c>
      <c r="O149" s="193">
        <f ca="1">IF($F150=-1,0,IF(O$13&lt;=$M149,IF(ISERROR(MATCH(O$13,OFFSET($M149,1,0,ROW($M$164)-ROW($M149)-1),0)),ROW($M$164)-ROW($M149)-1,MATCH(O$13,OFFSET($M149,1,0,ROW($M$164)-ROW($M149)-1),0)-1),0))</f>
        <v>0</v>
      </c>
      <c r="P149" s="193">
        <f ca="1">IF($F150=-1,0,IF(P$13&lt;=$M149,IF(ISERROR(MATCH(P$13,OFFSET($M149,1,0,ROW($M$164)-ROW($M149)-1),0)),ROW($M$164)-ROW($M149)-1,MATCH(P$13,OFFSET($M149,1,0,ROW($M$164)-ROW($M149)-1),0)-1),0))</f>
        <v>0</v>
      </c>
      <c r="Q149" s="193">
        <f ca="1">IF($F150=-1,0,IF(Q$13&lt;=$M149,IF(ISERROR(MATCH(Q$13,OFFSET($M149,1,0,ROW($M$164)-ROW($M149)-1),0)),ROW($M$164)-ROW($M149)-1,MATCH(Q$13,OFFSET($M149,1,0,ROW($M$164)-ROW($M149)-1),0)-1),0))</f>
        <v>0</v>
      </c>
      <c r="R149" s="193">
        <f t="shared" ref="R149" ca="1" si="275">MIN(OFFSET(M149,0,1,,M149))</f>
        <v>0</v>
      </c>
      <c r="S149" s="194" t="str">
        <f ca="1">IF($F150=0,OFFSET(ORÇAMENTO!X$15,$F149,0),IF($F150&lt;&gt;-1,OFFSET(QCI!$O$13,$F150,0),""))</f>
        <v/>
      </c>
      <c r="T149" s="195" t="s">
        <v>785</v>
      </c>
      <c r="U149" s="188" t="e" cm="1">
        <f t="array" aca="1" ref="U149" ca="1">IF(AND($R149=2,ACOMPANHAMENTO="BM"),ROUND(U150,4),U151/$S149)</f>
        <v>#VALUE!</v>
      </c>
      <c r="V149" s="188" t="e" cm="1">
        <f t="array" aca="1" ref="V149" ca="1">IF(AND($R149=2,ACOMPANHAMENTO="BM"),ROUND(V150,4),V151/$S149)</f>
        <v>#VALUE!</v>
      </c>
      <c r="W149" s="188" t="e" cm="1">
        <f t="array" aca="1" ref="W149" ca="1">IF(AND($R149=2,ACOMPANHAMENTO="BM"),ROUND(W150,4),W151/$S149)</f>
        <v>#VALUE!</v>
      </c>
      <c r="X149" s="188" t="e" cm="1">
        <f t="array" aca="1" ref="X149" ca="1">IF(AND($R149=2,ACOMPANHAMENTO="BM"),ROUND(X150,4),X151/$S149)</f>
        <v>#VALUE!</v>
      </c>
      <c r="Y149" s="188" t="e" cm="1">
        <f t="array" aca="1" ref="Y149" ca="1">IF(AND($R149=2,ACOMPANHAMENTO="BM"),ROUND(Y150,4),Y151/$S149)</f>
        <v>#VALUE!</v>
      </c>
      <c r="Z149" s="188" t="e" cm="1">
        <f t="array" aca="1" ref="Z149" ca="1">IF(AND($R149=2,ACOMPANHAMENTO="BM"),ROUND(Z150,4),Z151/$S149)</f>
        <v>#VALUE!</v>
      </c>
      <c r="AA149" s="188" t="e" cm="1">
        <f t="array" aca="1" ref="AA149" ca="1">IF(AND($R149=2,ACOMPANHAMENTO="BM"),ROUND(AA150,4),AA151/$S149)</f>
        <v>#VALUE!</v>
      </c>
      <c r="AB149" s="188" t="e" cm="1">
        <f t="array" aca="1" ref="AB149" ca="1">IF(AND($R149=2,ACOMPANHAMENTO="BM"),ROUND(AB150,4),AB151/$S149)</f>
        <v>#VALUE!</v>
      </c>
      <c r="AC149" s="188" t="e" cm="1">
        <f t="array" aca="1" ref="AC149" ca="1">IF(AND($R149=2,ACOMPANHAMENTO="BM"),ROUND(AC150,4),AC151/$S149)</f>
        <v>#VALUE!</v>
      </c>
      <c r="AD149" s="188" t="e" cm="1">
        <f t="array" aca="1" ref="AD149" ca="1">IF(AND($R149=2,ACOMPANHAMENTO="BM"),ROUND(AD150,4),AD151/$S149)</f>
        <v>#VALUE!</v>
      </c>
      <c r="AE149" s="188" t="e" cm="1">
        <f t="array" aca="1" ref="AE149" ca="1">IF(AND($R149=2,ACOMPANHAMENTO="BM"),ROUND(AE150,4),AE151/$S149)</f>
        <v>#VALUE!</v>
      </c>
      <c r="AF149" s="188" t="e" cm="1">
        <f t="array" aca="1" ref="AF149" ca="1">IF(AND($R149=2,ACOMPANHAMENTO="BM"),ROUND(AF150,4),AF151/$S149)</f>
        <v>#VALUE!</v>
      </c>
      <c r="AG149" s="534"/>
    </row>
    <row r="150" spans="1:33" ht="12.75" customHeight="1" x14ac:dyDescent="0.2">
      <c r="E150" s="587"/>
      <c r="F150" s="185">
        <f ca="1">IF(ISERROR(F149),IF(1+COUNTIF($M$13:OFFSET(M149,-1,0),1)&lt;=MAX(QCI!$D$13:$D$24),1+COUNTIF($M$13:OFFSET(M149,-1,0),1),-1),0)</f>
        <v>-1</v>
      </c>
      <c r="G150" s="185" t="str" cm="1">
        <f t="array" aca="1" ref="G150" ca="1">IF(ACOMPANHAMENTO="BM",OFFSET(G150,-1,0),"")</f>
        <v/>
      </c>
      <c r="H150" s="196" t="str" cm="1">
        <f t="array" aca="1" ref="H150" ca="1">IF(OR(S149=0,S149=""),"vazia",IF(AND(OR(ACOMPANHAMENTO="PLE",$R149&lt;&gt;2),$F150=0),"calculada","--&gt;"))</f>
        <v>vazia</v>
      </c>
      <c r="I150" s="197"/>
      <c r="J150" s="198" t="str">
        <f t="shared" ref="J150" ca="1" si="276">IF(AND(H149&lt;&gt;0,ISNUMBER(H149)),"PREENCHA ESTA LINHA --&gt;","")</f>
        <v/>
      </c>
      <c r="K150" s="198"/>
      <c r="L150" s="198"/>
      <c r="M150" s="199"/>
      <c r="N150" s="199"/>
      <c r="O150" s="199"/>
      <c r="P150" s="199"/>
      <c r="Q150" s="199"/>
      <c r="R150" s="199"/>
      <c r="S150" s="200"/>
      <c r="T150" s="201"/>
      <c r="U150" s="587"/>
      <c r="V150" s="587"/>
      <c r="W150" s="587"/>
      <c r="X150" s="587"/>
      <c r="Y150" s="587"/>
      <c r="Z150" s="587"/>
      <c r="AA150" s="587"/>
      <c r="AB150" s="587"/>
      <c r="AC150" s="587"/>
      <c r="AD150" s="587"/>
      <c r="AE150" s="587"/>
      <c r="AF150" s="587"/>
      <c r="AG150" s="534"/>
    </row>
    <row r="151" spans="1:33" ht="12.75" customHeight="1" x14ac:dyDescent="0.2">
      <c r="D151" s="533"/>
      <c r="E151" s="202" cm="1">
        <f t="array" aca="1" ref="E151" ca="1">IF($R149=2,
         IF(AND(ACOMPANHAMENTO="PLE",ISNUMBER($F149)),
                SUMIF((OFFSET(CÁLCULO!$AM$15:$AW$15,$F149,0,OFFSET(ORÇAMENTO!$D$15,CRONO!$F149,0))),CRONO!E$12,OFFSET(CÁLCULO!$AB$15:$AL$15,$F149,0,OFFSET(ORÇAMENTO!$D$15,CRONO!$F149,0)))
                +IF(AND($F151&lt;&gt;"",$F151&lt;&gt;0),
                        SUMIF(CÁLCULO!$AM$15:$AW$44,CRONO!E$12,CÁLCULO!$AB$15:$AL$44)/(ORÇAMENTO!$X$15-CÁLCULO.TotalAdmLocal)*CRONO!$F151,
                        0),
                 E150*$S149),
          SUMIF(OFFSET($S151,1,0,$R149-2),($M149+1)&amp;"$",OFFSET(E151,1,0,$R149-2)))</f>
        <v>0</v>
      </c>
      <c r="F151" s="185" t="str">
        <f ca="1">IF(OR($R149&lt;&gt;2,AUTOEVENTO&lt;&gt;"manual",$F150&gt;0),"",
        IF(Import.TipoArredondamento="Tradicional",
              SUMIF(OFFSET(CÁLCULO!$M$15,CRONO!$F149,0,OFFSET(ORÇAMENTO!$D$15,CRONO!$F149,0)),1,OFFSET(ORÇAMENTO!$X$15,CRONO!$F149,0,OFFSET(ORÇAMENTO!$D$15,CRONO!$F149,0))),
              0))</f>
        <v/>
      </c>
      <c r="H151" s="203"/>
      <c r="S151" s="204" t="str">
        <f t="shared" ref="S151" ca="1" si="277">M149&amp;"$"</f>
        <v>1$</v>
      </c>
      <c r="T151" s="205"/>
      <c r="U151" s="202" cm="1">
        <f t="array" aca="1" ref="U151" ca="1">IF($R149=2,
         IF(AND(ACOMPANHAMENTO="PLE",ISNUMBER($F149)),
                SUMIF((OFFSET(CÁLCULO!$AM$15:$AW$15,$F149,0,OFFSET(ORÇAMENTO!$D$15,CRONO!$F149,0))),CRONO!U$12,OFFSET(CÁLCULO!$AB$15:$AL$15,$F149,0,OFFSET(ORÇAMENTO!$D$15,CRONO!$F149,0)))
                +IF(AND($F151&lt;&gt;"",$F151&lt;&gt;0),
                        SUMIF(CÁLCULO!$AM$15:$AW$44,CRONO!U$12,CÁLCULO!$AB$15:$AL$44)/(ORÇAMENTO!$X$15-CÁLCULO.TotalAdmLocal)*CRONO!$F151,
                        0),
                 U150*$S149),
          SUMIF(OFFSET($S151,1,0,$R149-2),($M149+1)&amp;"$",OFFSET(U151,1,0,$R149-2)))</f>
        <v>0</v>
      </c>
      <c r="V151" s="202" cm="1">
        <f t="array" aca="1" ref="V151" ca="1">IF($R149=2,
         IF(AND(ACOMPANHAMENTO="PLE",ISNUMBER($F149)),
                SUMIF((OFFSET(CÁLCULO!$AM$15:$AW$15,$F149,0,OFFSET(ORÇAMENTO!$D$15,CRONO!$F149,0))),CRONO!V$12,OFFSET(CÁLCULO!$AB$15:$AL$15,$F149,0,OFFSET(ORÇAMENTO!$D$15,CRONO!$F149,0)))
                +IF(AND($F151&lt;&gt;"",$F151&lt;&gt;0),
                        SUMIF(CÁLCULO!$AM$15:$AW$44,CRONO!V$12,CÁLCULO!$AB$15:$AL$44)/(ORÇAMENTO!$X$15-CÁLCULO.TotalAdmLocal)*CRONO!$F151,
                        0),
                 V150*$S149),
          SUMIF(OFFSET($S151,1,0,$R149-2),($M149+1)&amp;"$",OFFSET(V151,1,0,$R149-2)))</f>
        <v>0</v>
      </c>
      <c r="W151" s="202" cm="1">
        <f t="array" aca="1" ref="W151" ca="1">IF($R149=2,
         IF(AND(ACOMPANHAMENTO="PLE",ISNUMBER($F149)),
                SUMIF((OFFSET(CÁLCULO!$AM$15:$AW$15,$F149,0,OFFSET(ORÇAMENTO!$D$15,CRONO!$F149,0))),CRONO!W$12,OFFSET(CÁLCULO!$AB$15:$AL$15,$F149,0,OFFSET(ORÇAMENTO!$D$15,CRONO!$F149,0)))
                +IF(AND($F151&lt;&gt;"",$F151&lt;&gt;0),
                        SUMIF(CÁLCULO!$AM$15:$AW$44,CRONO!W$12,CÁLCULO!$AB$15:$AL$44)/(ORÇAMENTO!$X$15-CÁLCULO.TotalAdmLocal)*CRONO!$F151,
                        0),
                 W150*$S149),
          SUMIF(OFFSET($S151,1,0,$R149-2),($M149+1)&amp;"$",OFFSET(W151,1,0,$R149-2)))</f>
        <v>0</v>
      </c>
      <c r="X151" s="202" cm="1">
        <f t="array" aca="1" ref="X151" ca="1">IF($R149=2,
         IF(AND(ACOMPANHAMENTO="PLE",ISNUMBER($F149)),
                SUMIF((OFFSET(CÁLCULO!$AM$15:$AW$15,$F149,0,OFFSET(ORÇAMENTO!$D$15,CRONO!$F149,0))),CRONO!X$12,OFFSET(CÁLCULO!$AB$15:$AL$15,$F149,0,OFFSET(ORÇAMENTO!$D$15,CRONO!$F149,0)))
                +IF(AND($F151&lt;&gt;"",$F151&lt;&gt;0),
                        SUMIF(CÁLCULO!$AM$15:$AW$44,CRONO!X$12,CÁLCULO!$AB$15:$AL$44)/(ORÇAMENTO!$X$15-CÁLCULO.TotalAdmLocal)*CRONO!$F151,
                        0),
                 X150*$S149),
          SUMIF(OFFSET($S151,1,0,$R149-2),($M149+1)&amp;"$",OFFSET(X151,1,0,$R149-2)))</f>
        <v>0</v>
      </c>
      <c r="Y151" s="202" cm="1">
        <f t="array" aca="1" ref="Y151" ca="1">IF($R149=2,
         IF(AND(ACOMPANHAMENTO="PLE",ISNUMBER($F149)),
                SUMIF((OFFSET(CÁLCULO!$AM$15:$AW$15,$F149,0,OFFSET(ORÇAMENTO!$D$15,CRONO!$F149,0))),CRONO!Y$12,OFFSET(CÁLCULO!$AB$15:$AL$15,$F149,0,OFFSET(ORÇAMENTO!$D$15,CRONO!$F149,0)))
                +IF(AND($F151&lt;&gt;"",$F151&lt;&gt;0),
                        SUMIF(CÁLCULO!$AM$15:$AW$44,CRONO!Y$12,CÁLCULO!$AB$15:$AL$44)/(ORÇAMENTO!$X$15-CÁLCULO.TotalAdmLocal)*CRONO!$F151,
                        0),
                 Y150*$S149),
          SUMIF(OFFSET($S151,1,0,$R149-2),($M149+1)&amp;"$",OFFSET(Y151,1,0,$R149-2)))</f>
        <v>0</v>
      </c>
      <c r="Z151" s="202" cm="1">
        <f t="array" aca="1" ref="Z151" ca="1">IF($R149=2,
         IF(AND(ACOMPANHAMENTO="PLE",ISNUMBER($F149)),
                SUMIF((OFFSET(CÁLCULO!$AM$15:$AW$15,$F149,0,OFFSET(ORÇAMENTO!$D$15,CRONO!$F149,0))),CRONO!Z$12,OFFSET(CÁLCULO!$AB$15:$AL$15,$F149,0,OFFSET(ORÇAMENTO!$D$15,CRONO!$F149,0)))
                +IF(AND($F151&lt;&gt;"",$F151&lt;&gt;0),
                        SUMIF(CÁLCULO!$AM$15:$AW$44,CRONO!Z$12,CÁLCULO!$AB$15:$AL$44)/(ORÇAMENTO!$X$15-CÁLCULO.TotalAdmLocal)*CRONO!$F151,
                        0),
                 Z150*$S149),
          SUMIF(OFFSET($S151,1,0,$R149-2),($M149+1)&amp;"$",OFFSET(Z151,1,0,$R149-2)))</f>
        <v>0</v>
      </c>
      <c r="AA151" s="202" cm="1">
        <f t="array" aca="1" ref="AA151" ca="1">IF($R149=2,
         IF(AND(ACOMPANHAMENTO="PLE",ISNUMBER($F149)),
                SUMIF((OFFSET(CÁLCULO!$AM$15:$AW$15,$F149,0,OFFSET(ORÇAMENTO!$D$15,CRONO!$F149,0))),CRONO!AA$12,OFFSET(CÁLCULO!$AB$15:$AL$15,$F149,0,OFFSET(ORÇAMENTO!$D$15,CRONO!$F149,0)))
                +IF(AND($F151&lt;&gt;"",$F151&lt;&gt;0),
                        SUMIF(CÁLCULO!$AM$15:$AW$44,CRONO!AA$12,CÁLCULO!$AB$15:$AL$44)/(ORÇAMENTO!$X$15-CÁLCULO.TotalAdmLocal)*CRONO!$F151,
                        0),
                 AA150*$S149),
          SUMIF(OFFSET($S151,1,0,$R149-2),($M149+1)&amp;"$",OFFSET(AA151,1,0,$R149-2)))</f>
        <v>0</v>
      </c>
      <c r="AB151" s="202" cm="1">
        <f t="array" aca="1" ref="AB151" ca="1">IF($R149=2,
         IF(AND(ACOMPANHAMENTO="PLE",ISNUMBER($F149)),
                SUMIF((OFFSET(CÁLCULO!$AM$15:$AW$15,$F149,0,OFFSET(ORÇAMENTO!$D$15,CRONO!$F149,0))),CRONO!AB$12,OFFSET(CÁLCULO!$AB$15:$AL$15,$F149,0,OFFSET(ORÇAMENTO!$D$15,CRONO!$F149,0)))
                +IF(AND($F151&lt;&gt;"",$F151&lt;&gt;0),
                        SUMIF(CÁLCULO!$AM$15:$AW$44,CRONO!AB$12,CÁLCULO!$AB$15:$AL$44)/(ORÇAMENTO!$X$15-CÁLCULO.TotalAdmLocal)*CRONO!$F151,
                        0),
                 AB150*$S149),
          SUMIF(OFFSET($S151,1,0,$R149-2),($M149+1)&amp;"$",OFFSET(AB151,1,0,$R149-2)))</f>
        <v>0</v>
      </c>
      <c r="AC151" s="202" cm="1">
        <f t="array" aca="1" ref="AC151" ca="1">IF($R149=2,
         IF(AND(ACOMPANHAMENTO="PLE",ISNUMBER($F149)),
                SUMIF((OFFSET(CÁLCULO!$AM$15:$AW$15,$F149,0,OFFSET(ORÇAMENTO!$D$15,CRONO!$F149,0))),CRONO!AC$12,OFFSET(CÁLCULO!$AB$15:$AL$15,$F149,0,OFFSET(ORÇAMENTO!$D$15,CRONO!$F149,0)))
                +IF(AND($F151&lt;&gt;"",$F151&lt;&gt;0),
                        SUMIF(CÁLCULO!$AM$15:$AW$44,CRONO!AC$12,CÁLCULO!$AB$15:$AL$44)/(ORÇAMENTO!$X$15-CÁLCULO.TotalAdmLocal)*CRONO!$F151,
                        0),
                 AC150*$S149),
          SUMIF(OFFSET($S151,1,0,$R149-2),($M149+1)&amp;"$",OFFSET(AC151,1,0,$R149-2)))</f>
        <v>0</v>
      </c>
      <c r="AD151" s="202" cm="1">
        <f t="array" aca="1" ref="AD151" ca="1">IF($R149=2,
         IF(AND(ACOMPANHAMENTO="PLE",ISNUMBER($F149)),
                SUMIF((OFFSET(CÁLCULO!$AM$15:$AW$15,$F149,0,OFFSET(ORÇAMENTO!$D$15,CRONO!$F149,0))),CRONO!AD$12,OFFSET(CÁLCULO!$AB$15:$AL$15,$F149,0,OFFSET(ORÇAMENTO!$D$15,CRONO!$F149,0)))
                +IF(AND($F151&lt;&gt;"",$F151&lt;&gt;0),
                        SUMIF(CÁLCULO!$AM$15:$AW$44,CRONO!AD$12,CÁLCULO!$AB$15:$AL$44)/(ORÇAMENTO!$X$15-CÁLCULO.TotalAdmLocal)*CRONO!$F151,
                        0),
                 AD150*$S149),
          SUMIF(OFFSET($S151,1,0,$R149-2),($M149+1)&amp;"$",OFFSET(AD151,1,0,$R149-2)))</f>
        <v>0</v>
      </c>
      <c r="AE151" s="202" cm="1">
        <f t="array" aca="1" ref="AE151" ca="1">IF($R149=2,
         IF(AND(ACOMPANHAMENTO="PLE",ISNUMBER($F149)),
                SUMIF((OFFSET(CÁLCULO!$AM$15:$AW$15,$F149,0,OFFSET(ORÇAMENTO!$D$15,CRONO!$F149,0))),CRONO!AE$12,OFFSET(CÁLCULO!$AB$15:$AL$15,$F149,0,OFFSET(ORÇAMENTO!$D$15,CRONO!$F149,0)))
                +IF(AND($F151&lt;&gt;"",$F151&lt;&gt;0),
                        SUMIF(CÁLCULO!$AM$15:$AW$44,CRONO!AE$12,CÁLCULO!$AB$15:$AL$44)/(ORÇAMENTO!$X$15-CÁLCULO.TotalAdmLocal)*CRONO!$F151,
                        0),
                 AE150*$S149),
          SUMIF(OFFSET($S151,1,0,$R149-2),($M149+1)&amp;"$",OFFSET(AE151,1,0,$R149-2)))</f>
        <v>0</v>
      </c>
      <c r="AF151" s="202" cm="1">
        <f t="array" aca="1" ref="AF151" ca="1">IF($R149=2,
         IF(AND(ACOMPANHAMENTO="PLE",ISNUMBER($F149)),
                SUMIF((OFFSET(CÁLCULO!$AM$15:$AW$15,$F149,0,OFFSET(ORÇAMENTO!$D$15,CRONO!$F149,0))),CRONO!AF$12,OFFSET(CÁLCULO!$AB$15:$AL$15,$F149,0,OFFSET(ORÇAMENTO!$D$15,CRONO!$F149,0)))
                +IF(AND($F151&lt;&gt;"",$F151&lt;&gt;0),
                        SUMIF(CÁLCULO!$AM$15:$AW$44,CRONO!AF$12,CÁLCULO!$AB$15:$AL$44)/(ORÇAMENTO!$X$15-CÁLCULO.TotalAdmLocal)*CRONO!$F151,
                        0),
                 AF150*$S149),
          SUMIF(OFFSET($S151,1,0,$R149-2),($M149+1)&amp;"$",OFFSET(AF151,1,0,$R149-2)))</f>
        <v>0</v>
      </c>
      <c r="AG151" s="534"/>
    </row>
    <row r="152" spans="1:33" x14ac:dyDescent="0.2">
      <c r="A152" s="186" t="str">
        <f t="shared" ref="A152" ca="1" si="278">IF($M152&gt;1,_xlfn.CONCAT($I152," ",$J152),"")</f>
        <v/>
      </c>
      <c r="B152" s="185">
        <f t="shared" ref="B152" ca="1" si="279">OFFSET(B152,-3,0)+1</f>
        <v>47</v>
      </c>
      <c r="C152" s="185">
        <f ca="1">IF($R152&lt;&gt;2,0,IF($S152=0,1,IF(F153&gt;0,OFFSET(QCI!$M$13,SUBSTITUTE(F153,".",""),0),OFFSET(ORÇAMENTO!$AA$15,CRONO!$F152,0))/$S152))</f>
        <v>0</v>
      </c>
      <c r="D152" s="185">
        <f ca="1">IF($R152&lt;&gt;2,0,IF($S152=0,1,IF(F153&gt;0,OFFSET(QCI!$N$13,SUBSTITUTE(F153,".",""),0),OFFSET(ORÇAMENTO!$AB$15,CRONO!$F152,0))/$S152))</f>
        <v>0</v>
      </c>
      <c r="E152" s="188" t="e" cm="1">
        <f t="array" aca="1" ref="E152" ca="1">IF(AND($R152=2,ACOMPANHAMENTO="BM"),ROUND(E153,4),E154/$S152)</f>
        <v>#VALUE!</v>
      </c>
      <c r="F152" s="185" t="e" cm="1">
        <f t="array" aca="1" ref="F152" ca="1">IF(B152&lt;=ORÇAMENTO.MáximoListaCrono,MATCH(B152,ORÇAMENTO.ListaCrono,0),NA())</f>
        <v>#N/A</v>
      </c>
      <c r="G152" s="185" t="str">
        <f t="shared" ref="G152" ca="1" si="280">IF(AND($F153&lt;&gt;-1,$S152&gt;0),"F","")</f>
        <v/>
      </c>
      <c r="H152" s="189" t="str" cm="1">
        <f t="array" aca="1" ref="H152" ca="1">IF(OR(S152=0,S152=""),"Linha",IF(AND(OR(ACOMPANHAMENTO="PLE",$R152&lt;&gt;2),$F153=0),"Linha",ROUND(1-SUM(U152:AG152),4)))</f>
        <v>Linha</v>
      </c>
      <c r="I152" s="190" t="str">
        <f ca="1">IF($F153=0,OFFSET(ORÇAMENTO!O$15,$F152,0),IF($F153&lt;&gt;-1,OFFSET(QCI!$D$13,$F153,0),""))</f>
        <v/>
      </c>
      <c r="J152" s="191" t="str">
        <f ca="1">IF($F153=0,OFFSET(ORÇAMENTO!R$15,$F152,0),IF($F153&lt;&gt;-1,OFFSET(QCI!$G$13,$F153,0),""))</f>
        <v/>
      </c>
      <c r="K152" s="191"/>
      <c r="L152" s="191"/>
      <c r="M152" s="192">
        <f ca="1">IF($F153=0,OFFSET(ORÇAMENTO!C$15,$F152,0),1)</f>
        <v>1</v>
      </c>
      <c r="N152" s="193">
        <f ca="1">IF($F153=-1,0,IF(N$13&lt;=$M152,IF(ISERROR(MATCH(N$13,OFFSET($M152,1,0,ROW($M$164)-ROW($M152)-1),0)),ROW($M$164)-ROW($M152)-1,MATCH(N$13,OFFSET($M152,1,0,ROW($M$164)-ROW($M152)-1),0)-1),0))</f>
        <v>0</v>
      </c>
      <c r="O152" s="193">
        <f ca="1">IF($F153=-1,0,IF(O$13&lt;=$M152,IF(ISERROR(MATCH(O$13,OFFSET($M152,1,0,ROW($M$164)-ROW($M152)-1),0)),ROW($M$164)-ROW($M152)-1,MATCH(O$13,OFFSET($M152,1,0,ROW($M$164)-ROW($M152)-1),0)-1),0))</f>
        <v>0</v>
      </c>
      <c r="P152" s="193">
        <f ca="1">IF($F153=-1,0,IF(P$13&lt;=$M152,IF(ISERROR(MATCH(P$13,OFFSET($M152,1,0,ROW($M$164)-ROW($M152)-1),0)),ROW($M$164)-ROW($M152)-1,MATCH(P$13,OFFSET($M152,1,0,ROW($M$164)-ROW($M152)-1),0)-1),0))</f>
        <v>0</v>
      </c>
      <c r="Q152" s="193">
        <f ca="1">IF($F153=-1,0,IF(Q$13&lt;=$M152,IF(ISERROR(MATCH(Q$13,OFFSET($M152,1,0,ROW($M$164)-ROW($M152)-1),0)),ROW($M$164)-ROW($M152)-1,MATCH(Q$13,OFFSET($M152,1,0,ROW($M$164)-ROW($M152)-1),0)-1),0))</f>
        <v>0</v>
      </c>
      <c r="R152" s="193">
        <f t="shared" ref="R152" ca="1" si="281">MIN(OFFSET(M152,0,1,,M152))</f>
        <v>0</v>
      </c>
      <c r="S152" s="194" t="str">
        <f ca="1">IF($F153=0,OFFSET(ORÇAMENTO!X$15,$F152,0),IF($F153&lt;&gt;-1,OFFSET(QCI!$O$13,$F153,0),""))</f>
        <v/>
      </c>
      <c r="T152" s="195" t="s">
        <v>785</v>
      </c>
      <c r="U152" s="188" t="e" cm="1">
        <f t="array" aca="1" ref="U152" ca="1">IF(AND($R152=2,ACOMPANHAMENTO="BM"),ROUND(U153,4),U154/$S152)</f>
        <v>#VALUE!</v>
      </c>
      <c r="V152" s="188" t="e" cm="1">
        <f t="array" aca="1" ref="V152" ca="1">IF(AND($R152=2,ACOMPANHAMENTO="BM"),ROUND(V153,4),V154/$S152)</f>
        <v>#VALUE!</v>
      </c>
      <c r="W152" s="188" t="e" cm="1">
        <f t="array" aca="1" ref="W152" ca="1">IF(AND($R152=2,ACOMPANHAMENTO="BM"),ROUND(W153,4),W154/$S152)</f>
        <v>#VALUE!</v>
      </c>
      <c r="X152" s="188" t="e" cm="1">
        <f t="array" aca="1" ref="X152" ca="1">IF(AND($R152=2,ACOMPANHAMENTO="BM"),ROUND(X153,4),X154/$S152)</f>
        <v>#VALUE!</v>
      </c>
      <c r="Y152" s="188" t="e" cm="1">
        <f t="array" aca="1" ref="Y152" ca="1">IF(AND($R152=2,ACOMPANHAMENTO="BM"),ROUND(Y153,4),Y154/$S152)</f>
        <v>#VALUE!</v>
      </c>
      <c r="Z152" s="188" t="e" cm="1">
        <f t="array" aca="1" ref="Z152" ca="1">IF(AND($R152=2,ACOMPANHAMENTO="BM"),ROUND(Z153,4),Z154/$S152)</f>
        <v>#VALUE!</v>
      </c>
      <c r="AA152" s="188" t="e" cm="1">
        <f t="array" aca="1" ref="AA152" ca="1">IF(AND($R152=2,ACOMPANHAMENTO="BM"),ROUND(AA153,4),AA154/$S152)</f>
        <v>#VALUE!</v>
      </c>
      <c r="AB152" s="188" t="e" cm="1">
        <f t="array" aca="1" ref="AB152" ca="1">IF(AND($R152=2,ACOMPANHAMENTO="BM"),ROUND(AB153,4),AB154/$S152)</f>
        <v>#VALUE!</v>
      </c>
      <c r="AC152" s="188" t="e" cm="1">
        <f t="array" aca="1" ref="AC152" ca="1">IF(AND($R152=2,ACOMPANHAMENTO="BM"),ROUND(AC153,4),AC154/$S152)</f>
        <v>#VALUE!</v>
      </c>
      <c r="AD152" s="188" t="e" cm="1">
        <f t="array" aca="1" ref="AD152" ca="1">IF(AND($R152=2,ACOMPANHAMENTO="BM"),ROUND(AD153,4),AD154/$S152)</f>
        <v>#VALUE!</v>
      </c>
      <c r="AE152" s="188" t="e" cm="1">
        <f t="array" aca="1" ref="AE152" ca="1">IF(AND($R152=2,ACOMPANHAMENTO="BM"),ROUND(AE153,4),AE154/$S152)</f>
        <v>#VALUE!</v>
      </c>
      <c r="AF152" s="188" t="e" cm="1">
        <f t="array" aca="1" ref="AF152" ca="1">IF(AND($R152=2,ACOMPANHAMENTO="BM"),ROUND(AF153,4),AF154/$S152)</f>
        <v>#VALUE!</v>
      </c>
      <c r="AG152" s="534"/>
    </row>
    <row r="153" spans="1:33" ht="12.75" customHeight="1" x14ac:dyDescent="0.2">
      <c r="E153" s="587"/>
      <c r="F153" s="185">
        <f ca="1">IF(ISERROR(F152),IF(1+COUNTIF($M$13:OFFSET(M152,-1,0),1)&lt;=MAX(QCI!$D$13:$D$24),1+COUNTIF($M$13:OFFSET(M152,-1,0),1),-1),0)</f>
        <v>-1</v>
      </c>
      <c r="G153" s="185" t="str" cm="1">
        <f t="array" aca="1" ref="G153" ca="1">IF(ACOMPANHAMENTO="BM",OFFSET(G153,-1,0),"")</f>
        <v/>
      </c>
      <c r="H153" s="196" t="str" cm="1">
        <f t="array" aca="1" ref="H153" ca="1">IF(OR(S152=0,S152=""),"vazia",IF(AND(OR(ACOMPANHAMENTO="PLE",$R152&lt;&gt;2),$F153=0),"calculada","--&gt;"))</f>
        <v>vazia</v>
      </c>
      <c r="I153" s="197"/>
      <c r="J153" s="198" t="str">
        <f t="shared" ref="J153" ca="1" si="282">IF(AND(H152&lt;&gt;0,ISNUMBER(H152)),"PREENCHA ESTA LINHA --&gt;","")</f>
        <v/>
      </c>
      <c r="K153" s="198"/>
      <c r="L153" s="198"/>
      <c r="M153" s="199"/>
      <c r="N153" s="199"/>
      <c r="O153" s="199"/>
      <c r="P153" s="199"/>
      <c r="Q153" s="199"/>
      <c r="R153" s="199"/>
      <c r="S153" s="200"/>
      <c r="T153" s="201"/>
      <c r="U153" s="587"/>
      <c r="V153" s="587"/>
      <c r="W153" s="587"/>
      <c r="X153" s="587"/>
      <c r="Y153" s="587"/>
      <c r="Z153" s="587"/>
      <c r="AA153" s="587"/>
      <c r="AB153" s="587"/>
      <c r="AC153" s="587"/>
      <c r="AD153" s="587"/>
      <c r="AE153" s="587"/>
      <c r="AF153" s="587"/>
      <c r="AG153" s="534"/>
    </row>
    <row r="154" spans="1:33" ht="12.75" customHeight="1" x14ac:dyDescent="0.2">
      <c r="D154" s="533"/>
      <c r="E154" s="202" cm="1">
        <f t="array" aca="1" ref="E154" ca="1">IF($R152=2,
         IF(AND(ACOMPANHAMENTO="PLE",ISNUMBER($F152)),
                SUMIF((OFFSET(CÁLCULO!$AM$15:$AW$15,$F152,0,OFFSET(ORÇAMENTO!$D$15,CRONO!$F152,0))),CRONO!E$12,OFFSET(CÁLCULO!$AB$15:$AL$15,$F152,0,OFFSET(ORÇAMENTO!$D$15,CRONO!$F152,0)))
                +IF(AND($F154&lt;&gt;"",$F154&lt;&gt;0),
                        SUMIF(CÁLCULO!$AM$15:$AW$44,CRONO!E$12,CÁLCULO!$AB$15:$AL$44)/(ORÇAMENTO!$X$15-CÁLCULO.TotalAdmLocal)*CRONO!$F154,
                        0),
                 E153*$S152),
          SUMIF(OFFSET($S154,1,0,$R152-2),($M152+1)&amp;"$",OFFSET(E154,1,0,$R152-2)))</f>
        <v>0</v>
      </c>
      <c r="F154" s="185" t="str">
        <f ca="1">IF(OR($R152&lt;&gt;2,AUTOEVENTO&lt;&gt;"manual",$F153&gt;0),"",
        IF(Import.TipoArredondamento="Tradicional",
              SUMIF(OFFSET(CÁLCULO!$M$15,CRONO!$F152,0,OFFSET(ORÇAMENTO!$D$15,CRONO!$F152,0)),1,OFFSET(ORÇAMENTO!$X$15,CRONO!$F152,0,OFFSET(ORÇAMENTO!$D$15,CRONO!$F152,0))),
              0))</f>
        <v/>
      </c>
      <c r="H154" s="203"/>
      <c r="S154" s="204" t="str">
        <f t="shared" ref="S154" ca="1" si="283">M152&amp;"$"</f>
        <v>1$</v>
      </c>
      <c r="T154" s="205"/>
      <c r="U154" s="202" cm="1">
        <f t="array" aca="1" ref="U154" ca="1">IF($R152=2,
         IF(AND(ACOMPANHAMENTO="PLE",ISNUMBER($F152)),
                SUMIF((OFFSET(CÁLCULO!$AM$15:$AW$15,$F152,0,OFFSET(ORÇAMENTO!$D$15,CRONO!$F152,0))),CRONO!U$12,OFFSET(CÁLCULO!$AB$15:$AL$15,$F152,0,OFFSET(ORÇAMENTO!$D$15,CRONO!$F152,0)))
                +IF(AND($F154&lt;&gt;"",$F154&lt;&gt;0),
                        SUMIF(CÁLCULO!$AM$15:$AW$44,CRONO!U$12,CÁLCULO!$AB$15:$AL$44)/(ORÇAMENTO!$X$15-CÁLCULO.TotalAdmLocal)*CRONO!$F154,
                        0),
                 U153*$S152),
          SUMIF(OFFSET($S154,1,0,$R152-2),($M152+1)&amp;"$",OFFSET(U154,1,0,$R152-2)))</f>
        <v>0</v>
      </c>
      <c r="V154" s="202" cm="1">
        <f t="array" aca="1" ref="V154" ca="1">IF($R152=2,
         IF(AND(ACOMPANHAMENTO="PLE",ISNUMBER($F152)),
                SUMIF((OFFSET(CÁLCULO!$AM$15:$AW$15,$F152,0,OFFSET(ORÇAMENTO!$D$15,CRONO!$F152,0))),CRONO!V$12,OFFSET(CÁLCULO!$AB$15:$AL$15,$F152,0,OFFSET(ORÇAMENTO!$D$15,CRONO!$F152,0)))
                +IF(AND($F154&lt;&gt;"",$F154&lt;&gt;0),
                        SUMIF(CÁLCULO!$AM$15:$AW$44,CRONO!V$12,CÁLCULO!$AB$15:$AL$44)/(ORÇAMENTO!$X$15-CÁLCULO.TotalAdmLocal)*CRONO!$F154,
                        0),
                 V153*$S152),
          SUMIF(OFFSET($S154,1,0,$R152-2),($M152+1)&amp;"$",OFFSET(V154,1,0,$R152-2)))</f>
        <v>0</v>
      </c>
      <c r="W154" s="202" cm="1">
        <f t="array" aca="1" ref="W154" ca="1">IF($R152=2,
         IF(AND(ACOMPANHAMENTO="PLE",ISNUMBER($F152)),
                SUMIF((OFFSET(CÁLCULO!$AM$15:$AW$15,$F152,0,OFFSET(ORÇAMENTO!$D$15,CRONO!$F152,0))),CRONO!W$12,OFFSET(CÁLCULO!$AB$15:$AL$15,$F152,0,OFFSET(ORÇAMENTO!$D$15,CRONO!$F152,0)))
                +IF(AND($F154&lt;&gt;"",$F154&lt;&gt;0),
                        SUMIF(CÁLCULO!$AM$15:$AW$44,CRONO!W$12,CÁLCULO!$AB$15:$AL$44)/(ORÇAMENTO!$X$15-CÁLCULO.TotalAdmLocal)*CRONO!$F154,
                        0),
                 W153*$S152),
          SUMIF(OFFSET($S154,1,0,$R152-2),($M152+1)&amp;"$",OFFSET(W154,1,0,$R152-2)))</f>
        <v>0</v>
      </c>
      <c r="X154" s="202" cm="1">
        <f t="array" aca="1" ref="X154" ca="1">IF($R152=2,
         IF(AND(ACOMPANHAMENTO="PLE",ISNUMBER($F152)),
                SUMIF((OFFSET(CÁLCULO!$AM$15:$AW$15,$F152,0,OFFSET(ORÇAMENTO!$D$15,CRONO!$F152,0))),CRONO!X$12,OFFSET(CÁLCULO!$AB$15:$AL$15,$F152,0,OFFSET(ORÇAMENTO!$D$15,CRONO!$F152,0)))
                +IF(AND($F154&lt;&gt;"",$F154&lt;&gt;0),
                        SUMIF(CÁLCULO!$AM$15:$AW$44,CRONO!X$12,CÁLCULO!$AB$15:$AL$44)/(ORÇAMENTO!$X$15-CÁLCULO.TotalAdmLocal)*CRONO!$F154,
                        0),
                 X153*$S152),
          SUMIF(OFFSET($S154,1,0,$R152-2),($M152+1)&amp;"$",OFFSET(X154,1,0,$R152-2)))</f>
        <v>0</v>
      </c>
      <c r="Y154" s="202" cm="1">
        <f t="array" aca="1" ref="Y154" ca="1">IF($R152=2,
         IF(AND(ACOMPANHAMENTO="PLE",ISNUMBER($F152)),
                SUMIF((OFFSET(CÁLCULO!$AM$15:$AW$15,$F152,0,OFFSET(ORÇAMENTO!$D$15,CRONO!$F152,0))),CRONO!Y$12,OFFSET(CÁLCULO!$AB$15:$AL$15,$F152,0,OFFSET(ORÇAMENTO!$D$15,CRONO!$F152,0)))
                +IF(AND($F154&lt;&gt;"",$F154&lt;&gt;0),
                        SUMIF(CÁLCULO!$AM$15:$AW$44,CRONO!Y$12,CÁLCULO!$AB$15:$AL$44)/(ORÇAMENTO!$X$15-CÁLCULO.TotalAdmLocal)*CRONO!$F154,
                        0),
                 Y153*$S152),
          SUMIF(OFFSET($S154,1,0,$R152-2),($M152+1)&amp;"$",OFFSET(Y154,1,0,$R152-2)))</f>
        <v>0</v>
      </c>
      <c r="Z154" s="202" cm="1">
        <f t="array" aca="1" ref="Z154" ca="1">IF($R152=2,
         IF(AND(ACOMPANHAMENTO="PLE",ISNUMBER($F152)),
                SUMIF((OFFSET(CÁLCULO!$AM$15:$AW$15,$F152,0,OFFSET(ORÇAMENTO!$D$15,CRONO!$F152,0))),CRONO!Z$12,OFFSET(CÁLCULO!$AB$15:$AL$15,$F152,0,OFFSET(ORÇAMENTO!$D$15,CRONO!$F152,0)))
                +IF(AND($F154&lt;&gt;"",$F154&lt;&gt;0),
                        SUMIF(CÁLCULO!$AM$15:$AW$44,CRONO!Z$12,CÁLCULO!$AB$15:$AL$44)/(ORÇAMENTO!$X$15-CÁLCULO.TotalAdmLocal)*CRONO!$F154,
                        0),
                 Z153*$S152),
          SUMIF(OFFSET($S154,1,0,$R152-2),($M152+1)&amp;"$",OFFSET(Z154,1,0,$R152-2)))</f>
        <v>0</v>
      </c>
      <c r="AA154" s="202" cm="1">
        <f t="array" aca="1" ref="AA154" ca="1">IF($R152=2,
         IF(AND(ACOMPANHAMENTO="PLE",ISNUMBER($F152)),
                SUMIF((OFFSET(CÁLCULO!$AM$15:$AW$15,$F152,0,OFFSET(ORÇAMENTO!$D$15,CRONO!$F152,0))),CRONO!AA$12,OFFSET(CÁLCULO!$AB$15:$AL$15,$F152,0,OFFSET(ORÇAMENTO!$D$15,CRONO!$F152,0)))
                +IF(AND($F154&lt;&gt;"",$F154&lt;&gt;0),
                        SUMIF(CÁLCULO!$AM$15:$AW$44,CRONO!AA$12,CÁLCULO!$AB$15:$AL$44)/(ORÇAMENTO!$X$15-CÁLCULO.TotalAdmLocal)*CRONO!$F154,
                        0),
                 AA153*$S152),
          SUMIF(OFFSET($S154,1,0,$R152-2),($M152+1)&amp;"$",OFFSET(AA154,1,0,$R152-2)))</f>
        <v>0</v>
      </c>
      <c r="AB154" s="202" cm="1">
        <f t="array" aca="1" ref="AB154" ca="1">IF($R152=2,
         IF(AND(ACOMPANHAMENTO="PLE",ISNUMBER($F152)),
                SUMIF((OFFSET(CÁLCULO!$AM$15:$AW$15,$F152,0,OFFSET(ORÇAMENTO!$D$15,CRONO!$F152,0))),CRONO!AB$12,OFFSET(CÁLCULO!$AB$15:$AL$15,$F152,0,OFFSET(ORÇAMENTO!$D$15,CRONO!$F152,0)))
                +IF(AND($F154&lt;&gt;"",$F154&lt;&gt;0),
                        SUMIF(CÁLCULO!$AM$15:$AW$44,CRONO!AB$12,CÁLCULO!$AB$15:$AL$44)/(ORÇAMENTO!$X$15-CÁLCULO.TotalAdmLocal)*CRONO!$F154,
                        0),
                 AB153*$S152),
          SUMIF(OFFSET($S154,1,0,$R152-2),($M152+1)&amp;"$",OFFSET(AB154,1,0,$R152-2)))</f>
        <v>0</v>
      </c>
      <c r="AC154" s="202" cm="1">
        <f t="array" aca="1" ref="AC154" ca="1">IF($R152=2,
         IF(AND(ACOMPANHAMENTO="PLE",ISNUMBER($F152)),
                SUMIF((OFFSET(CÁLCULO!$AM$15:$AW$15,$F152,0,OFFSET(ORÇAMENTO!$D$15,CRONO!$F152,0))),CRONO!AC$12,OFFSET(CÁLCULO!$AB$15:$AL$15,$F152,0,OFFSET(ORÇAMENTO!$D$15,CRONO!$F152,0)))
                +IF(AND($F154&lt;&gt;"",$F154&lt;&gt;0),
                        SUMIF(CÁLCULO!$AM$15:$AW$44,CRONO!AC$12,CÁLCULO!$AB$15:$AL$44)/(ORÇAMENTO!$X$15-CÁLCULO.TotalAdmLocal)*CRONO!$F154,
                        0),
                 AC153*$S152),
          SUMIF(OFFSET($S154,1,0,$R152-2),($M152+1)&amp;"$",OFFSET(AC154,1,0,$R152-2)))</f>
        <v>0</v>
      </c>
      <c r="AD154" s="202" cm="1">
        <f t="array" aca="1" ref="AD154" ca="1">IF($R152=2,
         IF(AND(ACOMPANHAMENTO="PLE",ISNUMBER($F152)),
                SUMIF((OFFSET(CÁLCULO!$AM$15:$AW$15,$F152,0,OFFSET(ORÇAMENTO!$D$15,CRONO!$F152,0))),CRONO!AD$12,OFFSET(CÁLCULO!$AB$15:$AL$15,$F152,0,OFFSET(ORÇAMENTO!$D$15,CRONO!$F152,0)))
                +IF(AND($F154&lt;&gt;"",$F154&lt;&gt;0),
                        SUMIF(CÁLCULO!$AM$15:$AW$44,CRONO!AD$12,CÁLCULO!$AB$15:$AL$44)/(ORÇAMENTO!$X$15-CÁLCULO.TotalAdmLocal)*CRONO!$F154,
                        0),
                 AD153*$S152),
          SUMIF(OFFSET($S154,1,0,$R152-2),($M152+1)&amp;"$",OFFSET(AD154,1,0,$R152-2)))</f>
        <v>0</v>
      </c>
      <c r="AE154" s="202" cm="1">
        <f t="array" aca="1" ref="AE154" ca="1">IF($R152=2,
         IF(AND(ACOMPANHAMENTO="PLE",ISNUMBER($F152)),
                SUMIF((OFFSET(CÁLCULO!$AM$15:$AW$15,$F152,0,OFFSET(ORÇAMENTO!$D$15,CRONO!$F152,0))),CRONO!AE$12,OFFSET(CÁLCULO!$AB$15:$AL$15,$F152,0,OFFSET(ORÇAMENTO!$D$15,CRONO!$F152,0)))
                +IF(AND($F154&lt;&gt;"",$F154&lt;&gt;0),
                        SUMIF(CÁLCULO!$AM$15:$AW$44,CRONO!AE$12,CÁLCULO!$AB$15:$AL$44)/(ORÇAMENTO!$X$15-CÁLCULO.TotalAdmLocal)*CRONO!$F154,
                        0),
                 AE153*$S152),
          SUMIF(OFFSET($S154,1,0,$R152-2),($M152+1)&amp;"$",OFFSET(AE154,1,0,$R152-2)))</f>
        <v>0</v>
      </c>
      <c r="AF154" s="202" cm="1">
        <f t="array" aca="1" ref="AF154" ca="1">IF($R152=2,
         IF(AND(ACOMPANHAMENTO="PLE",ISNUMBER($F152)),
                SUMIF((OFFSET(CÁLCULO!$AM$15:$AW$15,$F152,0,OFFSET(ORÇAMENTO!$D$15,CRONO!$F152,0))),CRONO!AF$12,OFFSET(CÁLCULO!$AB$15:$AL$15,$F152,0,OFFSET(ORÇAMENTO!$D$15,CRONO!$F152,0)))
                +IF(AND($F154&lt;&gt;"",$F154&lt;&gt;0),
                        SUMIF(CÁLCULO!$AM$15:$AW$44,CRONO!AF$12,CÁLCULO!$AB$15:$AL$44)/(ORÇAMENTO!$X$15-CÁLCULO.TotalAdmLocal)*CRONO!$F154,
                        0),
                 AF153*$S152),
          SUMIF(OFFSET($S154,1,0,$R152-2),($M152+1)&amp;"$",OFFSET(AF154,1,0,$R152-2)))</f>
        <v>0</v>
      </c>
      <c r="AG154" s="534"/>
    </row>
    <row r="155" spans="1:33" x14ac:dyDescent="0.2">
      <c r="A155" s="186" t="str">
        <f t="shared" ref="A155" ca="1" si="284">IF($M155&gt;1,_xlfn.CONCAT($I155," ",$J155),"")</f>
        <v/>
      </c>
      <c r="B155" s="185">
        <f t="shared" ref="B155" ca="1" si="285">OFFSET(B155,-3,0)+1</f>
        <v>48</v>
      </c>
      <c r="C155" s="185">
        <f ca="1">IF($R155&lt;&gt;2,0,IF($S155=0,1,IF(F156&gt;0,OFFSET(QCI!$M$13,SUBSTITUTE(F156,".",""),0),OFFSET(ORÇAMENTO!$AA$15,CRONO!$F155,0))/$S155))</f>
        <v>0</v>
      </c>
      <c r="D155" s="185">
        <f ca="1">IF($R155&lt;&gt;2,0,IF($S155=0,1,IF(F156&gt;0,OFFSET(QCI!$N$13,SUBSTITUTE(F156,".",""),0),OFFSET(ORÇAMENTO!$AB$15,CRONO!$F155,0))/$S155))</f>
        <v>0</v>
      </c>
      <c r="E155" s="188" t="e" cm="1">
        <f t="array" aca="1" ref="E155" ca="1">IF(AND($R155=2,ACOMPANHAMENTO="BM"),ROUND(E156,4),E157/$S155)</f>
        <v>#VALUE!</v>
      </c>
      <c r="F155" s="185" t="e" cm="1">
        <f t="array" aca="1" ref="F155" ca="1">IF(B155&lt;=ORÇAMENTO.MáximoListaCrono,MATCH(B155,ORÇAMENTO.ListaCrono,0),NA())</f>
        <v>#N/A</v>
      </c>
      <c r="G155" s="185" t="str">
        <f t="shared" ref="G155" ca="1" si="286">IF(AND($F156&lt;&gt;-1,$S155&gt;0),"F","")</f>
        <v/>
      </c>
      <c r="H155" s="189" t="str" cm="1">
        <f t="array" aca="1" ref="H155" ca="1">IF(OR(S155=0,S155=""),"Linha",IF(AND(OR(ACOMPANHAMENTO="PLE",$R155&lt;&gt;2),$F156=0),"Linha",ROUND(1-SUM(U155:AG155),4)))</f>
        <v>Linha</v>
      </c>
      <c r="I155" s="190" t="str">
        <f ca="1">IF($F156=0,OFFSET(ORÇAMENTO!O$15,$F155,0),IF($F156&lt;&gt;-1,OFFSET(QCI!$D$13,$F156,0),""))</f>
        <v/>
      </c>
      <c r="J155" s="191" t="str">
        <f ca="1">IF($F156=0,OFFSET(ORÇAMENTO!R$15,$F155,0),IF($F156&lt;&gt;-1,OFFSET(QCI!$G$13,$F156,0),""))</f>
        <v/>
      </c>
      <c r="K155" s="191"/>
      <c r="L155" s="191"/>
      <c r="M155" s="192">
        <f ca="1">IF($F156=0,OFFSET(ORÇAMENTO!C$15,$F155,0),1)</f>
        <v>1</v>
      </c>
      <c r="N155" s="193">
        <f ca="1">IF($F156=-1,0,IF(N$13&lt;=$M155,IF(ISERROR(MATCH(N$13,OFFSET($M155,1,0,ROW($M$164)-ROW($M155)-1),0)),ROW($M$164)-ROW($M155)-1,MATCH(N$13,OFFSET($M155,1,0,ROW($M$164)-ROW($M155)-1),0)-1),0))</f>
        <v>0</v>
      </c>
      <c r="O155" s="193">
        <f ca="1">IF($F156=-1,0,IF(O$13&lt;=$M155,IF(ISERROR(MATCH(O$13,OFFSET($M155,1,0,ROW($M$164)-ROW($M155)-1),0)),ROW($M$164)-ROW($M155)-1,MATCH(O$13,OFFSET($M155,1,0,ROW($M$164)-ROW($M155)-1),0)-1),0))</f>
        <v>0</v>
      </c>
      <c r="P155" s="193">
        <f ca="1">IF($F156=-1,0,IF(P$13&lt;=$M155,IF(ISERROR(MATCH(P$13,OFFSET($M155,1,0,ROW($M$164)-ROW($M155)-1),0)),ROW($M$164)-ROW($M155)-1,MATCH(P$13,OFFSET($M155,1,0,ROW($M$164)-ROW($M155)-1),0)-1),0))</f>
        <v>0</v>
      </c>
      <c r="Q155" s="193">
        <f ca="1">IF($F156=-1,0,IF(Q$13&lt;=$M155,IF(ISERROR(MATCH(Q$13,OFFSET($M155,1,0,ROW($M$164)-ROW($M155)-1),0)),ROW($M$164)-ROW($M155)-1,MATCH(Q$13,OFFSET($M155,1,0,ROW($M$164)-ROW($M155)-1),0)-1),0))</f>
        <v>0</v>
      </c>
      <c r="R155" s="193">
        <f t="shared" ref="R155" ca="1" si="287">MIN(OFFSET(M155,0,1,,M155))</f>
        <v>0</v>
      </c>
      <c r="S155" s="194" t="str">
        <f ca="1">IF($F156=0,OFFSET(ORÇAMENTO!X$15,$F155,0),IF($F156&lt;&gt;-1,OFFSET(QCI!$O$13,$F156,0),""))</f>
        <v/>
      </c>
      <c r="T155" s="195" t="s">
        <v>785</v>
      </c>
      <c r="U155" s="188" t="e" cm="1">
        <f t="array" aca="1" ref="U155" ca="1">IF(AND($R155=2,ACOMPANHAMENTO="BM"),ROUND(U156,4),U157/$S155)</f>
        <v>#VALUE!</v>
      </c>
      <c r="V155" s="188" t="e" cm="1">
        <f t="array" aca="1" ref="V155" ca="1">IF(AND($R155=2,ACOMPANHAMENTO="BM"),ROUND(V156,4),V157/$S155)</f>
        <v>#VALUE!</v>
      </c>
      <c r="W155" s="188" t="e" cm="1">
        <f t="array" aca="1" ref="W155" ca="1">IF(AND($R155=2,ACOMPANHAMENTO="BM"),ROUND(W156,4),W157/$S155)</f>
        <v>#VALUE!</v>
      </c>
      <c r="X155" s="188" t="e" cm="1">
        <f t="array" aca="1" ref="X155" ca="1">IF(AND($R155=2,ACOMPANHAMENTO="BM"),ROUND(X156,4),X157/$S155)</f>
        <v>#VALUE!</v>
      </c>
      <c r="Y155" s="188" t="e" cm="1">
        <f t="array" aca="1" ref="Y155" ca="1">IF(AND($R155=2,ACOMPANHAMENTO="BM"),ROUND(Y156,4),Y157/$S155)</f>
        <v>#VALUE!</v>
      </c>
      <c r="Z155" s="188" t="e" cm="1">
        <f t="array" aca="1" ref="Z155" ca="1">IF(AND($R155=2,ACOMPANHAMENTO="BM"),ROUND(Z156,4),Z157/$S155)</f>
        <v>#VALUE!</v>
      </c>
      <c r="AA155" s="188" t="e" cm="1">
        <f t="array" aca="1" ref="AA155" ca="1">IF(AND($R155=2,ACOMPANHAMENTO="BM"),ROUND(AA156,4),AA157/$S155)</f>
        <v>#VALUE!</v>
      </c>
      <c r="AB155" s="188" t="e" cm="1">
        <f t="array" aca="1" ref="AB155" ca="1">IF(AND($R155=2,ACOMPANHAMENTO="BM"),ROUND(AB156,4),AB157/$S155)</f>
        <v>#VALUE!</v>
      </c>
      <c r="AC155" s="188" t="e" cm="1">
        <f t="array" aca="1" ref="AC155" ca="1">IF(AND($R155=2,ACOMPANHAMENTO="BM"),ROUND(AC156,4),AC157/$S155)</f>
        <v>#VALUE!</v>
      </c>
      <c r="AD155" s="188" t="e" cm="1">
        <f t="array" aca="1" ref="AD155" ca="1">IF(AND($R155=2,ACOMPANHAMENTO="BM"),ROUND(AD156,4),AD157/$S155)</f>
        <v>#VALUE!</v>
      </c>
      <c r="AE155" s="188" t="e" cm="1">
        <f t="array" aca="1" ref="AE155" ca="1">IF(AND($R155=2,ACOMPANHAMENTO="BM"),ROUND(AE156,4),AE157/$S155)</f>
        <v>#VALUE!</v>
      </c>
      <c r="AF155" s="188" t="e" cm="1">
        <f t="array" aca="1" ref="AF155" ca="1">IF(AND($R155=2,ACOMPANHAMENTO="BM"),ROUND(AF156,4),AF157/$S155)</f>
        <v>#VALUE!</v>
      </c>
      <c r="AG155" s="534"/>
    </row>
    <row r="156" spans="1:33" ht="12.75" customHeight="1" x14ac:dyDescent="0.2">
      <c r="E156" s="587"/>
      <c r="F156" s="185">
        <f ca="1">IF(ISERROR(F155),IF(1+COUNTIF($M$13:OFFSET(M155,-1,0),1)&lt;=MAX(QCI!$D$13:$D$24),1+COUNTIF($M$13:OFFSET(M155,-1,0),1),-1),0)</f>
        <v>-1</v>
      </c>
      <c r="G156" s="185" t="str" cm="1">
        <f t="array" aca="1" ref="G156" ca="1">IF(ACOMPANHAMENTO="BM",OFFSET(G156,-1,0),"")</f>
        <v/>
      </c>
      <c r="H156" s="196" t="str" cm="1">
        <f t="array" aca="1" ref="H156" ca="1">IF(OR(S155=0,S155=""),"vazia",IF(AND(OR(ACOMPANHAMENTO="PLE",$R155&lt;&gt;2),$F156=0),"calculada","--&gt;"))</f>
        <v>vazia</v>
      </c>
      <c r="I156" s="197"/>
      <c r="J156" s="198" t="str">
        <f t="shared" ref="J156" ca="1" si="288">IF(AND(H155&lt;&gt;0,ISNUMBER(H155)),"PREENCHA ESTA LINHA --&gt;","")</f>
        <v/>
      </c>
      <c r="K156" s="198"/>
      <c r="L156" s="198"/>
      <c r="M156" s="199"/>
      <c r="N156" s="199"/>
      <c r="O156" s="199"/>
      <c r="P156" s="199"/>
      <c r="Q156" s="199"/>
      <c r="R156" s="199"/>
      <c r="S156" s="200"/>
      <c r="T156" s="201"/>
      <c r="U156" s="587"/>
      <c r="V156" s="587"/>
      <c r="W156" s="587"/>
      <c r="X156" s="587"/>
      <c r="Y156" s="587"/>
      <c r="Z156" s="587"/>
      <c r="AA156" s="587"/>
      <c r="AB156" s="587"/>
      <c r="AC156" s="587"/>
      <c r="AD156" s="587"/>
      <c r="AE156" s="587"/>
      <c r="AF156" s="587"/>
      <c r="AG156" s="534"/>
    </row>
    <row r="157" spans="1:33" ht="12.75" customHeight="1" x14ac:dyDescent="0.2">
      <c r="D157" s="533"/>
      <c r="E157" s="202" cm="1">
        <f t="array" aca="1" ref="E157" ca="1">IF($R155=2,
         IF(AND(ACOMPANHAMENTO="PLE",ISNUMBER($F155)),
                SUMIF((OFFSET(CÁLCULO!$AM$15:$AW$15,$F155,0,OFFSET(ORÇAMENTO!$D$15,CRONO!$F155,0))),CRONO!E$12,OFFSET(CÁLCULO!$AB$15:$AL$15,$F155,0,OFFSET(ORÇAMENTO!$D$15,CRONO!$F155,0)))
                +IF(AND($F157&lt;&gt;"",$F157&lt;&gt;0),
                        SUMIF(CÁLCULO!$AM$15:$AW$44,CRONO!E$12,CÁLCULO!$AB$15:$AL$44)/(ORÇAMENTO!$X$15-CÁLCULO.TotalAdmLocal)*CRONO!$F157,
                        0),
                 E156*$S155),
          SUMIF(OFFSET($S157,1,0,$R155-2),($M155+1)&amp;"$",OFFSET(E157,1,0,$R155-2)))</f>
        <v>0</v>
      </c>
      <c r="F157" s="185" t="str">
        <f ca="1">IF(OR($R155&lt;&gt;2,AUTOEVENTO&lt;&gt;"manual",$F156&gt;0),"",
        IF(Import.TipoArredondamento="Tradicional",
              SUMIF(OFFSET(CÁLCULO!$M$15,CRONO!$F155,0,OFFSET(ORÇAMENTO!$D$15,CRONO!$F155,0)),1,OFFSET(ORÇAMENTO!$X$15,CRONO!$F155,0,OFFSET(ORÇAMENTO!$D$15,CRONO!$F155,0))),
              0))</f>
        <v/>
      </c>
      <c r="H157" s="203"/>
      <c r="S157" s="204" t="str">
        <f t="shared" ref="S157" ca="1" si="289">M155&amp;"$"</f>
        <v>1$</v>
      </c>
      <c r="T157" s="205"/>
      <c r="U157" s="202" cm="1">
        <f t="array" aca="1" ref="U157" ca="1">IF($R155=2,
         IF(AND(ACOMPANHAMENTO="PLE",ISNUMBER($F155)),
                SUMIF((OFFSET(CÁLCULO!$AM$15:$AW$15,$F155,0,OFFSET(ORÇAMENTO!$D$15,CRONO!$F155,0))),CRONO!U$12,OFFSET(CÁLCULO!$AB$15:$AL$15,$F155,0,OFFSET(ORÇAMENTO!$D$15,CRONO!$F155,0)))
                +IF(AND($F157&lt;&gt;"",$F157&lt;&gt;0),
                        SUMIF(CÁLCULO!$AM$15:$AW$44,CRONO!U$12,CÁLCULO!$AB$15:$AL$44)/(ORÇAMENTO!$X$15-CÁLCULO.TotalAdmLocal)*CRONO!$F157,
                        0),
                 U156*$S155),
          SUMIF(OFFSET($S157,1,0,$R155-2),($M155+1)&amp;"$",OFFSET(U157,1,0,$R155-2)))</f>
        <v>0</v>
      </c>
      <c r="V157" s="202" cm="1">
        <f t="array" aca="1" ref="V157" ca="1">IF($R155=2,
         IF(AND(ACOMPANHAMENTO="PLE",ISNUMBER($F155)),
                SUMIF((OFFSET(CÁLCULO!$AM$15:$AW$15,$F155,0,OFFSET(ORÇAMENTO!$D$15,CRONO!$F155,0))),CRONO!V$12,OFFSET(CÁLCULO!$AB$15:$AL$15,$F155,0,OFFSET(ORÇAMENTO!$D$15,CRONO!$F155,0)))
                +IF(AND($F157&lt;&gt;"",$F157&lt;&gt;0),
                        SUMIF(CÁLCULO!$AM$15:$AW$44,CRONO!V$12,CÁLCULO!$AB$15:$AL$44)/(ORÇAMENTO!$X$15-CÁLCULO.TotalAdmLocal)*CRONO!$F157,
                        0),
                 V156*$S155),
          SUMIF(OFFSET($S157,1,0,$R155-2),($M155+1)&amp;"$",OFFSET(V157,1,0,$R155-2)))</f>
        <v>0</v>
      </c>
      <c r="W157" s="202" cm="1">
        <f t="array" aca="1" ref="W157" ca="1">IF($R155=2,
         IF(AND(ACOMPANHAMENTO="PLE",ISNUMBER($F155)),
                SUMIF((OFFSET(CÁLCULO!$AM$15:$AW$15,$F155,0,OFFSET(ORÇAMENTO!$D$15,CRONO!$F155,0))),CRONO!W$12,OFFSET(CÁLCULO!$AB$15:$AL$15,$F155,0,OFFSET(ORÇAMENTO!$D$15,CRONO!$F155,0)))
                +IF(AND($F157&lt;&gt;"",$F157&lt;&gt;0),
                        SUMIF(CÁLCULO!$AM$15:$AW$44,CRONO!W$12,CÁLCULO!$AB$15:$AL$44)/(ORÇAMENTO!$X$15-CÁLCULO.TotalAdmLocal)*CRONO!$F157,
                        0),
                 W156*$S155),
          SUMIF(OFFSET($S157,1,0,$R155-2),($M155+1)&amp;"$",OFFSET(W157,1,0,$R155-2)))</f>
        <v>0</v>
      </c>
      <c r="X157" s="202" cm="1">
        <f t="array" aca="1" ref="X157" ca="1">IF($R155=2,
         IF(AND(ACOMPANHAMENTO="PLE",ISNUMBER($F155)),
                SUMIF((OFFSET(CÁLCULO!$AM$15:$AW$15,$F155,0,OFFSET(ORÇAMENTO!$D$15,CRONO!$F155,0))),CRONO!X$12,OFFSET(CÁLCULO!$AB$15:$AL$15,$F155,0,OFFSET(ORÇAMENTO!$D$15,CRONO!$F155,0)))
                +IF(AND($F157&lt;&gt;"",$F157&lt;&gt;0),
                        SUMIF(CÁLCULO!$AM$15:$AW$44,CRONO!X$12,CÁLCULO!$AB$15:$AL$44)/(ORÇAMENTO!$X$15-CÁLCULO.TotalAdmLocal)*CRONO!$F157,
                        0),
                 X156*$S155),
          SUMIF(OFFSET($S157,1,0,$R155-2),($M155+1)&amp;"$",OFFSET(X157,1,0,$R155-2)))</f>
        <v>0</v>
      </c>
      <c r="Y157" s="202" cm="1">
        <f t="array" aca="1" ref="Y157" ca="1">IF($R155=2,
         IF(AND(ACOMPANHAMENTO="PLE",ISNUMBER($F155)),
                SUMIF((OFFSET(CÁLCULO!$AM$15:$AW$15,$F155,0,OFFSET(ORÇAMENTO!$D$15,CRONO!$F155,0))),CRONO!Y$12,OFFSET(CÁLCULO!$AB$15:$AL$15,$F155,0,OFFSET(ORÇAMENTO!$D$15,CRONO!$F155,0)))
                +IF(AND($F157&lt;&gt;"",$F157&lt;&gt;0),
                        SUMIF(CÁLCULO!$AM$15:$AW$44,CRONO!Y$12,CÁLCULO!$AB$15:$AL$44)/(ORÇAMENTO!$X$15-CÁLCULO.TotalAdmLocal)*CRONO!$F157,
                        0),
                 Y156*$S155),
          SUMIF(OFFSET($S157,1,0,$R155-2),($M155+1)&amp;"$",OFFSET(Y157,1,0,$R155-2)))</f>
        <v>0</v>
      </c>
      <c r="Z157" s="202" cm="1">
        <f t="array" aca="1" ref="Z157" ca="1">IF($R155=2,
         IF(AND(ACOMPANHAMENTO="PLE",ISNUMBER($F155)),
                SUMIF((OFFSET(CÁLCULO!$AM$15:$AW$15,$F155,0,OFFSET(ORÇAMENTO!$D$15,CRONO!$F155,0))),CRONO!Z$12,OFFSET(CÁLCULO!$AB$15:$AL$15,$F155,0,OFFSET(ORÇAMENTO!$D$15,CRONO!$F155,0)))
                +IF(AND($F157&lt;&gt;"",$F157&lt;&gt;0),
                        SUMIF(CÁLCULO!$AM$15:$AW$44,CRONO!Z$12,CÁLCULO!$AB$15:$AL$44)/(ORÇAMENTO!$X$15-CÁLCULO.TotalAdmLocal)*CRONO!$F157,
                        0),
                 Z156*$S155),
          SUMIF(OFFSET($S157,1,0,$R155-2),($M155+1)&amp;"$",OFFSET(Z157,1,0,$R155-2)))</f>
        <v>0</v>
      </c>
      <c r="AA157" s="202" cm="1">
        <f t="array" aca="1" ref="AA157" ca="1">IF($R155=2,
         IF(AND(ACOMPANHAMENTO="PLE",ISNUMBER($F155)),
                SUMIF((OFFSET(CÁLCULO!$AM$15:$AW$15,$F155,0,OFFSET(ORÇAMENTO!$D$15,CRONO!$F155,0))),CRONO!AA$12,OFFSET(CÁLCULO!$AB$15:$AL$15,$F155,0,OFFSET(ORÇAMENTO!$D$15,CRONO!$F155,0)))
                +IF(AND($F157&lt;&gt;"",$F157&lt;&gt;0),
                        SUMIF(CÁLCULO!$AM$15:$AW$44,CRONO!AA$12,CÁLCULO!$AB$15:$AL$44)/(ORÇAMENTO!$X$15-CÁLCULO.TotalAdmLocal)*CRONO!$F157,
                        0),
                 AA156*$S155),
          SUMIF(OFFSET($S157,1,0,$R155-2),($M155+1)&amp;"$",OFFSET(AA157,1,0,$R155-2)))</f>
        <v>0</v>
      </c>
      <c r="AB157" s="202" cm="1">
        <f t="array" aca="1" ref="AB157" ca="1">IF($R155=2,
         IF(AND(ACOMPANHAMENTO="PLE",ISNUMBER($F155)),
                SUMIF((OFFSET(CÁLCULO!$AM$15:$AW$15,$F155,0,OFFSET(ORÇAMENTO!$D$15,CRONO!$F155,0))),CRONO!AB$12,OFFSET(CÁLCULO!$AB$15:$AL$15,$F155,0,OFFSET(ORÇAMENTO!$D$15,CRONO!$F155,0)))
                +IF(AND($F157&lt;&gt;"",$F157&lt;&gt;0),
                        SUMIF(CÁLCULO!$AM$15:$AW$44,CRONO!AB$12,CÁLCULO!$AB$15:$AL$44)/(ORÇAMENTO!$X$15-CÁLCULO.TotalAdmLocal)*CRONO!$F157,
                        0),
                 AB156*$S155),
          SUMIF(OFFSET($S157,1,0,$R155-2),($M155+1)&amp;"$",OFFSET(AB157,1,0,$R155-2)))</f>
        <v>0</v>
      </c>
      <c r="AC157" s="202" cm="1">
        <f t="array" aca="1" ref="AC157" ca="1">IF($R155=2,
         IF(AND(ACOMPANHAMENTO="PLE",ISNUMBER($F155)),
                SUMIF((OFFSET(CÁLCULO!$AM$15:$AW$15,$F155,0,OFFSET(ORÇAMENTO!$D$15,CRONO!$F155,0))),CRONO!AC$12,OFFSET(CÁLCULO!$AB$15:$AL$15,$F155,0,OFFSET(ORÇAMENTO!$D$15,CRONO!$F155,0)))
                +IF(AND($F157&lt;&gt;"",$F157&lt;&gt;0),
                        SUMIF(CÁLCULO!$AM$15:$AW$44,CRONO!AC$12,CÁLCULO!$AB$15:$AL$44)/(ORÇAMENTO!$X$15-CÁLCULO.TotalAdmLocal)*CRONO!$F157,
                        0),
                 AC156*$S155),
          SUMIF(OFFSET($S157,1,0,$R155-2),($M155+1)&amp;"$",OFFSET(AC157,1,0,$R155-2)))</f>
        <v>0</v>
      </c>
      <c r="AD157" s="202" cm="1">
        <f t="array" aca="1" ref="AD157" ca="1">IF($R155=2,
         IF(AND(ACOMPANHAMENTO="PLE",ISNUMBER($F155)),
                SUMIF((OFFSET(CÁLCULO!$AM$15:$AW$15,$F155,0,OFFSET(ORÇAMENTO!$D$15,CRONO!$F155,0))),CRONO!AD$12,OFFSET(CÁLCULO!$AB$15:$AL$15,$F155,0,OFFSET(ORÇAMENTO!$D$15,CRONO!$F155,0)))
                +IF(AND($F157&lt;&gt;"",$F157&lt;&gt;0),
                        SUMIF(CÁLCULO!$AM$15:$AW$44,CRONO!AD$12,CÁLCULO!$AB$15:$AL$44)/(ORÇAMENTO!$X$15-CÁLCULO.TotalAdmLocal)*CRONO!$F157,
                        0),
                 AD156*$S155),
          SUMIF(OFFSET($S157,1,0,$R155-2),($M155+1)&amp;"$",OFFSET(AD157,1,0,$R155-2)))</f>
        <v>0</v>
      </c>
      <c r="AE157" s="202" cm="1">
        <f t="array" aca="1" ref="AE157" ca="1">IF($R155=2,
         IF(AND(ACOMPANHAMENTO="PLE",ISNUMBER($F155)),
                SUMIF((OFFSET(CÁLCULO!$AM$15:$AW$15,$F155,0,OFFSET(ORÇAMENTO!$D$15,CRONO!$F155,0))),CRONO!AE$12,OFFSET(CÁLCULO!$AB$15:$AL$15,$F155,0,OFFSET(ORÇAMENTO!$D$15,CRONO!$F155,0)))
                +IF(AND($F157&lt;&gt;"",$F157&lt;&gt;0),
                        SUMIF(CÁLCULO!$AM$15:$AW$44,CRONO!AE$12,CÁLCULO!$AB$15:$AL$44)/(ORÇAMENTO!$X$15-CÁLCULO.TotalAdmLocal)*CRONO!$F157,
                        0),
                 AE156*$S155),
          SUMIF(OFFSET($S157,1,0,$R155-2),($M155+1)&amp;"$",OFFSET(AE157,1,0,$R155-2)))</f>
        <v>0</v>
      </c>
      <c r="AF157" s="202" cm="1">
        <f t="array" aca="1" ref="AF157" ca="1">IF($R155=2,
         IF(AND(ACOMPANHAMENTO="PLE",ISNUMBER($F155)),
                SUMIF((OFFSET(CÁLCULO!$AM$15:$AW$15,$F155,0,OFFSET(ORÇAMENTO!$D$15,CRONO!$F155,0))),CRONO!AF$12,OFFSET(CÁLCULO!$AB$15:$AL$15,$F155,0,OFFSET(ORÇAMENTO!$D$15,CRONO!$F155,0)))
                +IF(AND($F157&lt;&gt;"",$F157&lt;&gt;0),
                        SUMIF(CÁLCULO!$AM$15:$AW$44,CRONO!AF$12,CÁLCULO!$AB$15:$AL$44)/(ORÇAMENTO!$X$15-CÁLCULO.TotalAdmLocal)*CRONO!$F157,
                        0),
                 AF156*$S155),
          SUMIF(OFFSET($S157,1,0,$R155-2),($M155+1)&amp;"$",OFFSET(AF157,1,0,$R155-2)))</f>
        <v>0</v>
      </c>
      <c r="AG157" s="534"/>
    </row>
    <row r="158" spans="1:33" x14ac:dyDescent="0.2">
      <c r="A158" s="186" t="str">
        <f t="shared" ref="A158" ca="1" si="290">IF($M158&gt;1,_xlfn.CONCAT($I158," ",$J158),"")</f>
        <v/>
      </c>
      <c r="B158" s="185">
        <f t="shared" ref="B158" ca="1" si="291">OFFSET(B158,-3,0)+1</f>
        <v>49</v>
      </c>
      <c r="C158" s="185">
        <f ca="1">IF($R158&lt;&gt;2,0,IF($S158=0,1,IF(F159&gt;0,OFFSET(QCI!$M$13,SUBSTITUTE(F159,".",""),0),OFFSET(ORÇAMENTO!$AA$15,CRONO!$F158,0))/$S158))</f>
        <v>0</v>
      </c>
      <c r="D158" s="185">
        <f ca="1">IF($R158&lt;&gt;2,0,IF($S158=0,1,IF(F159&gt;0,OFFSET(QCI!$N$13,SUBSTITUTE(F159,".",""),0),OFFSET(ORÇAMENTO!$AB$15,CRONO!$F158,0))/$S158))</f>
        <v>0</v>
      </c>
      <c r="E158" s="188" t="e" cm="1">
        <f t="array" aca="1" ref="E158" ca="1">IF(AND($R158=2,ACOMPANHAMENTO="BM"),ROUND(E159,4),E160/$S158)</f>
        <v>#VALUE!</v>
      </c>
      <c r="F158" s="185" t="e" cm="1">
        <f t="array" aca="1" ref="F158" ca="1">IF(B158&lt;=ORÇAMENTO.MáximoListaCrono,MATCH(B158,ORÇAMENTO.ListaCrono,0),NA())</f>
        <v>#N/A</v>
      </c>
      <c r="G158" s="185" t="str">
        <f t="shared" ref="G158" ca="1" si="292">IF(AND($F159&lt;&gt;-1,$S158&gt;0),"F","")</f>
        <v/>
      </c>
      <c r="H158" s="189" t="str" cm="1">
        <f t="array" aca="1" ref="H158" ca="1">IF(OR(S158=0,S158=""),"Linha",IF(AND(OR(ACOMPANHAMENTO="PLE",$R158&lt;&gt;2),$F159=0),"Linha",ROUND(1-SUM(U158:AG158),4)))</f>
        <v>Linha</v>
      </c>
      <c r="I158" s="190" t="str">
        <f ca="1">IF($F159=0,OFFSET(ORÇAMENTO!O$15,$F158,0),IF($F159&lt;&gt;-1,OFFSET(QCI!$D$13,$F159,0),""))</f>
        <v/>
      </c>
      <c r="J158" s="191" t="str">
        <f ca="1">IF($F159=0,OFFSET(ORÇAMENTO!R$15,$F158,0),IF($F159&lt;&gt;-1,OFFSET(QCI!$G$13,$F159,0),""))</f>
        <v/>
      </c>
      <c r="K158" s="191"/>
      <c r="L158" s="191"/>
      <c r="M158" s="192">
        <f ca="1">IF($F159=0,OFFSET(ORÇAMENTO!C$15,$F158,0),1)</f>
        <v>1</v>
      </c>
      <c r="N158" s="193">
        <f t="shared" ref="N158" ca="1" si="293">IF($F159=-1,0,IF(N$13&lt;=$M158,IF(ISERROR(MATCH(N$13,OFFSET($M158,1,0,ROW($M$164)-ROW($M158)-1),0)),ROW($M$164)-ROW($M158)-1,MATCH(N$13,OFFSET($M158,1,0,ROW($M$164)-ROW($M158)-1),0)-1),0))</f>
        <v>0</v>
      </c>
      <c r="O158" s="193">
        <f t="shared" ref="O158" ca="1" si="294">IF($F159=-1,0,IF(O$13&lt;=$M158,IF(ISERROR(MATCH(O$13,OFFSET($M158,1,0,ROW($M$164)-ROW($M158)-1),0)),ROW($M$164)-ROW($M158)-1,MATCH(O$13,OFFSET($M158,1,0,ROW($M$164)-ROW($M158)-1),0)-1),0))</f>
        <v>0</v>
      </c>
      <c r="P158" s="193">
        <f t="shared" ref="P158" ca="1" si="295">IF($F159=-1,0,IF(P$13&lt;=$M158,IF(ISERROR(MATCH(P$13,OFFSET($M158,1,0,ROW($M$164)-ROW($M158)-1),0)),ROW($M$164)-ROW($M158)-1,MATCH(P$13,OFFSET($M158,1,0,ROW($M$164)-ROW($M158)-1),0)-1),0))</f>
        <v>0</v>
      </c>
      <c r="Q158" s="193">
        <f t="shared" ref="Q158" ca="1" si="296">IF($F159=-1,0,IF(Q$13&lt;=$M158,IF(ISERROR(MATCH(Q$13,OFFSET($M158,1,0,ROW($M$164)-ROW($M158)-1),0)),ROW($M$164)-ROW($M158)-1,MATCH(Q$13,OFFSET($M158,1,0,ROW($M$164)-ROW($M158)-1),0)-1),0))</f>
        <v>0</v>
      </c>
      <c r="R158" s="193">
        <f t="shared" ref="R158" ca="1" si="297">MIN(OFFSET(M158,0,1,,M158))</f>
        <v>0</v>
      </c>
      <c r="S158" s="194" t="str">
        <f ca="1">IF($F159=0,OFFSET(ORÇAMENTO!X$15,$F158,0),IF($F159&lt;&gt;-1,OFFSET(QCI!$O$13,$F159,0),""))</f>
        <v/>
      </c>
      <c r="T158" s="195" t="s">
        <v>785</v>
      </c>
      <c r="U158" s="188" t="e" cm="1">
        <f t="array" aca="1" ref="U158" ca="1">IF(AND($R158=2,ACOMPANHAMENTO="BM"),ROUND(U159,4),U160/$S158)</f>
        <v>#VALUE!</v>
      </c>
      <c r="V158" s="188" t="e" cm="1">
        <f t="array" aca="1" ref="V158" ca="1">IF(AND($R158=2,ACOMPANHAMENTO="BM"),ROUND(V159,4),V160/$S158)</f>
        <v>#VALUE!</v>
      </c>
      <c r="W158" s="188" t="e" cm="1">
        <f t="array" aca="1" ref="W158" ca="1">IF(AND($R158=2,ACOMPANHAMENTO="BM"),ROUND(W159,4),W160/$S158)</f>
        <v>#VALUE!</v>
      </c>
      <c r="X158" s="188" t="e" cm="1">
        <f t="array" aca="1" ref="X158" ca="1">IF(AND($R158=2,ACOMPANHAMENTO="BM"),ROUND(X159,4),X160/$S158)</f>
        <v>#VALUE!</v>
      </c>
      <c r="Y158" s="188" t="e" cm="1">
        <f t="array" aca="1" ref="Y158" ca="1">IF(AND($R158=2,ACOMPANHAMENTO="BM"),ROUND(Y159,4),Y160/$S158)</f>
        <v>#VALUE!</v>
      </c>
      <c r="Z158" s="188" t="e" cm="1">
        <f t="array" aca="1" ref="Z158" ca="1">IF(AND($R158=2,ACOMPANHAMENTO="BM"),ROUND(Z159,4),Z160/$S158)</f>
        <v>#VALUE!</v>
      </c>
      <c r="AA158" s="188" t="e" cm="1">
        <f t="array" aca="1" ref="AA158" ca="1">IF(AND($R158=2,ACOMPANHAMENTO="BM"),ROUND(AA159,4),AA160/$S158)</f>
        <v>#VALUE!</v>
      </c>
      <c r="AB158" s="188" t="e" cm="1">
        <f t="array" aca="1" ref="AB158" ca="1">IF(AND($R158=2,ACOMPANHAMENTO="BM"),ROUND(AB159,4),AB160/$S158)</f>
        <v>#VALUE!</v>
      </c>
      <c r="AC158" s="188" t="e" cm="1">
        <f t="array" aca="1" ref="AC158" ca="1">IF(AND($R158=2,ACOMPANHAMENTO="BM"),ROUND(AC159,4),AC160/$S158)</f>
        <v>#VALUE!</v>
      </c>
      <c r="AD158" s="188" t="e" cm="1">
        <f t="array" aca="1" ref="AD158" ca="1">IF(AND($R158=2,ACOMPANHAMENTO="BM"),ROUND(AD159,4),AD160/$S158)</f>
        <v>#VALUE!</v>
      </c>
      <c r="AE158" s="188" t="e" cm="1">
        <f t="array" aca="1" ref="AE158" ca="1">IF(AND($R158=2,ACOMPANHAMENTO="BM"),ROUND(AE159,4),AE160/$S158)</f>
        <v>#VALUE!</v>
      </c>
      <c r="AF158" s="188" t="e" cm="1">
        <f t="array" aca="1" ref="AF158" ca="1">IF(AND($R158=2,ACOMPANHAMENTO="BM"),ROUND(AF159,4),AF160/$S158)</f>
        <v>#VALUE!</v>
      </c>
      <c r="AG158" s="534"/>
    </row>
    <row r="159" spans="1:33" ht="12.75" customHeight="1" x14ac:dyDescent="0.2">
      <c r="E159" s="587"/>
      <c r="F159" s="185">
        <f ca="1">IF(ISERROR(F158),IF(1+COUNTIF($M$13:OFFSET(M158,-1,0),1)&lt;=MAX(QCI!$D$13:$D$24),1+COUNTIF($M$13:OFFSET(M158,-1,0),1),-1),0)</f>
        <v>-1</v>
      </c>
      <c r="G159" s="185" t="str" cm="1">
        <f t="array" aca="1" ref="G159" ca="1">IF(ACOMPANHAMENTO="BM",OFFSET(G159,-1,0),"")</f>
        <v/>
      </c>
      <c r="H159" s="196" t="str" cm="1">
        <f t="array" aca="1" ref="H159" ca="1">IF(OR(S158=0,S158=""),"vazia",IF(AND(OR(ACOMPANHAMENTO="PLE",$R158&lt;&gt;2),$F159=0),"calculada","--&gt;"))</f>
        <v>vazia</v>
      </c>
      <c r="I159" s="197"/>
      <c r="J159" s="198" t="str">
        <f t="shared" ref="J159" ca="1" si="298">IF(AND(H158&lt;&gt;0,ISNUMBER(H158)),"PREENCHA ESTA LINHA --&gt;","")</f>
        <v/>
      </c>
      <c r="K159" s="198"/>
      <c r="L159" s="198"/>
      <c r="M159" s="199"/>
      <c r="N159" s="199"/>
      <c r="O159" s="199"/>
      <c r="P159" s="199"/>
      <c r="Q159" s="199"/>
      <c r="R159" s="199"/>
      <c r="S159" s="200"/>
      <c r="T159" s="201"/>
      <c r="U159" s="587"/>
      <c r="V159" s="587"/>
      <c r="W159" s="587"/>
      <c r="X159" s="587"/>
      <c r="Y159" s="587"/>
      <c r="Z159" s="587"/>
      <c r="AA159" s="587"/>
      <c r="AB159" s="587"/>
      <c r="AC159" s="587"/>
      <c r="AD159" s="587"/>
      <c r="AE159" s="587"/>
      <c r="AF159" s="587"/>
      <c r="AG159" s="534"/>
    </row>
    <row r="160" spans="1:33" ht="12.75" customHeight="1" x14ac:dyDescent="0.2">
      <c r="D160" s="533"/>
      <c r="E160" s="202" cm="1">
        <f t="array" aca="1" ref="E160" ca="1">IF($R158=2,
         IF(AND(ACOMPANHAMENTO="PLE",ISNUMBER($F158)),
                SUMIF((OFFSET(CÁLCULO!$AM$15:$AW$15,$F158,0,OFFSET(ORÇAMENTO!$D$15,CRONO!$F158,0))),CRONO!E$12,OFFSET(CÁLCULO!$AB$15:$AL$15,$F158,0,OFFSET(ORÇAMENTO!$D$15,CRONO!$F158,0)))
                +IF(AND($F160&lt;&gt;"",$F160&lt;&gt;0),
                        SUMIF(CÁLCULO!$AM$15:$AW$44,CRONO!E$12,CÁLCULO!$AB$15:$AL$44)/(ORÇAMENTO!$X$15-CÁLCULO.TotalAdmLocal)*CRONO!$F160,
                        0),
                 E159*$S158),
          SUMIF(OFFSET($S160,1,0,$R158-2),($M158+1)&amp;"$",OFFSET(E160,1,0,$R158-2)))</f>
        <v>0</v>
      </c>
      <c r="F160" s="185" t="str">
        <f ca="1">IF(OR($R158&lt;&gt;2,AUTOEVENTO&lt;&gt;"manual",$F159&gt;0),"",
        IF(Import.TipoArredondamento="Tradicional",
              SUMIF(OFFSET(CÁLCULO!$M$15,CRONO!$F158,0,OFFSET(ORÇAMENTO!$D$15,CRONO!$F158,0)),1,OFFSET(ORÇAMENTO!$X$15,CRONO!$F158,0,OFFSET(ORÇAMENTO!$D$15,CRONO!$F158,0))),
              0))</f>
        <v/>
      </c>
      <c r="H160" s="203"/>
      <c r="S160" s="204" t="str">
        <f t="shared" ref="S160" ca="1" si="299">M158&amp;"$"</f>
        <v>1$</v>
      </c>
      <c r="T160" s="205"/>
      <c r="U160" s="202" cm="1">
        <f t="array" aca="1" ref="U160" ca="1">IF($R158=2,
         IF(AND(ACOMPANHAMENTO="PLE",ISNUMBER($F158)),
                SUMIF((OFFSET(CÁLCULO!$AM$15:$AW$15,$F158,0,OFFSET(ORÇAMENTO!$D$15,CRONO!$F158,0))),CRONO!U$12,OFFSET(CÁLCULO!$AB$15:$AL$15,$F158,0,OFFSET(ORÇAMENTO!$D$15,CRONO!$F158,0)))
                +IF(AND($F160&lt;&gt;"",$F160&lt;&gt;0),
                        SUMIF(CÁLCULO!$AM$15:$AW$44,CRONO!U$12,CÁLCULO!$AB$15:$AL$44)/(ORÇAMENTO!$X$15-CÁLCULO.TotalAdmLocal)*CRONO!$F160,
                        0),
                 U159*$S158),
          SUMIF(OFFSET($S160,1,0,$R158-2),($M158+1)&amp;"$",OFFSET(U160,1,0,$R158-2)))</f>
        <v>0</v>
      </c>
      <c r="V160" s="202" cm="1">
        <f t="array" aca="1" ref="V160" ca="1">IF($R158=2,
         IF(AND(ACOMPANHAMENTO="PLE",ISNUMBER($F158)),
                SUMIF((OFFSET(CÁLCULO!$AM$15:$AW$15,$F158,0,OFFSET(ORÇAMENTO!$D$15,CRONO!$F158,0))),CRONO!V$12,OFFSET(CÁLCULO!$AB$15:$AL$15,$F158,0,OFFSET(ORÇAMENTO!$D$15,CRONO!$F158,0)))
                +IF(AND($F160&lt;&gt;"",$F160&lt;&gt;0),
                        SUMIF(CÁLCULO!$AM$15:$AW$44,CRONO!V$12,CÁLCULO!$AB$15:$AL$44)/(ORÇAMENTO!$X$15-CÁLCULO.TotalAdmLocal)*CRONO!$F160,
                        0),
                 V159*$S158),
          SUMIF(OFFSET($S160,1,0,$R158-2),($M158+1)&amp;"$",OFFSET(V160,1,0,$R158-2)))</f>
        <v>0</v>
      </c>
      <c r="W160" s="202" cm="1">
        <f t="array" aca="1" ref="W160" ca="1">IF($R158=2,
         IF(AND(ACOMPANHAMENTO="PLE",ISNUMBER($F158)),
                SUMIF((OFFSET(CÁLCULO!$AM$15:$AW$15,$F158,0,OFFSET(ORÇAMENTO!$D$15,CRONO!$F158,0))),CRONO!W$12,OFFSET(CÁLCULO!$AB$15:$AL$15,$F158,0,OFFSET(ORÇAMENTO!$D$15,CRONO!$F158,0)))
                +IF(AND($F160&lt;&gt;"",$F160&lt;&gt;0),
                        SUMIF(CÁLCULO!$AM$15:$AW$44,CRONO!W$12,CÁLCULO!$AB$15:$AL$44)/(ORÇAMENTO!$X$15-CÁLCULO.TotalAdmLocal)*CRONO!$F160,
                        0),
                 W159*$S158),
          SUMIF(OFFSET($S160,1,0,$R158-2),($M158+1)&amp;"$",OFFSET(W160,1,0,$R158-2)))</f>
        <v>0</v>
      </c>
      <c r="X160" s="202" cm="1">
        <f t="array" aca="1" ref="X160" ca="1">IF($R158=2,
         IF(AND(ACOMPANHAMENTO="PLE",ISNUMBER($F158)),
                SUMIF((OFFSET(CÁLCULO!$AM$15:$AW$15,$F158,0,OFFSET(ORÇAMENTO!$D$15,CRONO!$F158,0))),CRONO!X$12,OFFSET(CÁLCULO!$AB$15:$AL$15,$F158,0,OFFSET(ORÇAMENTO!$D$15,CRONO!$F158,0)))
                +IF(AND($F160&lt;&gt;"",$F160&lt;&gt;0),
                        SUMIF(CÁLCULO!$AM$15:$AW$44,CRONO!X$12,CÁLCULO!$AB$15:$AL$44)/(ORÇAMENTO!$X$15-CÁLCULO.TotalAdmLocal)*CRONO!$F160,
                        0),
                 X159*$S158),
          SUMIF(OFFSET($S160,1,0,$R158-2),($M158+1)&amp;"$",OFFSET(X160,1,0,$R158-2)))</f>
        <v>0</v>
      </c>
      <c r="Y160" s="202" cm="1">
        <f t="array" aca="1" ref="Y160" ca="1">IF($R158=2,
         IF(AND(ACOMPANHAMENTO="PLE",ISNUMBER($F158)),
                SUMIF((OFFSET(CÁLCULO!$AM$15:$AW$15,$F158,0,OFFSET(ORÇAMENTO!$D$15,CRONO!$F158,0))),CRONO!Y$12,OFFSET(CÁLCULO!$AB$15:$AL$15,$F158,0,OFFSET(ORÇAMENTO!$D$15,CRONO!$F158,0)))
                +IF(AND($F160&lt;&gt;"",$F160&lt;&gt;0),
                        SUMIF(CÁLCULO!$AM$15:$AW$44,CRONO!Y$12,CÁLCULO!$AB$15:$AL$44)/(ORÇAMENTO!$X$15-CÁLCULO.TotalAdmLocal)*CRONO!$F160,
                        0),
                 Y159*$S158),
          SUMIF(OFFSET($S160,1,0,$R158-2),($M158+1)&amp;"$",OFFSET(Y160,1,0,$R158-2)))</f>
        <v>0</v>
      </c>
      <c r="Z160" s="202" cm="1">
        <f t="array" aca="1" ref="Z160" ca="1">IF($R158=2,
         IF(AND(ACOMPANHAMENTO="PLE",ISNUMBER($F158)),
                SUMIF((OFFSET(CÁLCULO!$AM$15:$AW$15,$F158,0,OFFSET(ORÇAMENTO!$D$15,CRONO!$F158,0))),CRONO!Z$12,OFFSET(CÁLCULO!$AB$15:$AL$15,$F158,0,OFFSET(ORÇAMENTO!$D$15,CRONO!$F158,0)))
                +IF(AND($F160&lt;&gt;"",$F160&lt;&gt;0),
                        SUMIF(CÁLCULO!$AM$15:$AW$44,CRONO!Z$12,CÁLCULO!$AB$15:$AL$44)/(ORÇAMENTO!$X$15-CÁLCULO.TotalAdmLocal)*CRONO!$F160,
                        0),
                 Z159*$S158),
          SUMIF(OFFSET($S160,1,0,$R158-2),($M158+1)&amp;"$",OFFSET(Z160,1,0,$R158-2)))</f>
        <v>0</v>
      </c>
      <c r="AA160" s="202" cm="1">
        <f t="array" aca="1" ref="AA160" ca="1">IF($R158=2,
         IF(AND(ACOMPANHAMENTO="PLE",ISNUMBER($F158)),
                SUMIF((OFFSET(CÁLCULO!$AM$15:$AW$15,$F158,0,OFFSET(ORÇAMENTO!$D$15,CRONO!$F158,0))),CRONO!AA$12,OFFSET(CÁLCULO!$AB$15:$AL$15,$F158,0,OFFSET(ORÇAMENTO!$D$15,CRONO!$F158,0)))
                +IF(AND($F160&lt;&gt;"",$F160&lt;&gt;0),
                        SUMIF(CÁLCULO!$AM$15:$AW$44,CRONO!AA$12,CÁLCULO!$AB$15:$AL$44)/(ORÇAMENTO!$X$15-CÁLCULO.TotalAdmLocal)*CRONO!$F160,
                        0),
                 AA159*$S158),
          SUMIF(OFFSET($S160,1,0,$R158-2),($M158+1)&amp;"$",OFFSET(AA160,1,0,$R158-2)))</f>
        <v>0</v>
      </c>
      <c r="AB160" s="202" cm="1">
        <f t="array" aca="1" ref="AB160" ca="1">IF($R158=2,
         IF(AND(ACOMPANHAMENTO="PLE",ISNUMBER($F158)),
                SUMIF((OFFSET(CÁLCULO!$AM$15:$AW$15,$F158,0,OFFSET(ORÇAMENTO!$D$15,CRONO!$F158,0))),CRONO!AB$12,OFFSET(CÁLCULO!$AB$15:$AL$15,$F158,0,OFFSET(ORÇAMENTO!$D$15,CRONO!$F158,0)))
                +IF(AND($F160&lt;&gt;"",$F160&lt;&gt;0),
                        SUMIF(CÁLCULO!$AM$15:$AW$44,CRONO!AB$12,CÁLCULO!$AB$15:$AL$44)/(ORÇAMENTO!$X$15-CÁLCULO.TotalAdmLocal)*CRONO!$F160,
                        0),
                 AB159*$S158),
          SUMIF(OFFSET($S160,1,0,$R158-2),($M158+1)&amp;"$",OFFSET(AB160,1,0,$R158-2)))</f>
        <v>0</v>
      </c>
      <c r="AC160" s="202" cm="1">
        <f t="array" aca="1" ref="AC160" ca="1">IF($R158=2,
         IF(AND(ACOMPANHAMENTO="PLE",ISNUMBER($F158)),
                SUMIF((OFFSET(CÁLCULO!$AM$15:$AW$15,$F158,0,OFFSET(ORÇAMENTO!$D$15,CRONO!$F158,0))),CRONO!AC$12,OFFSET(CÁLCULO!$AB$15:$AL$15,$F158,0,OFFSET(ORÇAMENTO!$D$15,CRONO!$F158,0)))
                +IF(AND($F160&lt;&gt;"",$F160&lt;&gt;0),
                        SUMIF(CÁLCULO!$AM$15:$AW$44,CRONO!AC$12,CÁLCULO!$AB$15:$AL$44)/(ORÇAMENTO!$X$15-CÁLCULO.TotalAdmLocal)*CRONO!$F160,
                        0),
                 AC159*$S158),
          SUMIF(OFFSET($S160,1,0,$R158-2),($M158+1)&amp;"$",OFFSET(AC160,1,0,$R158-2)))</f>
        <v>0</v>
      </c>
      <c r="AD160" s="202" cm="1">
        <f t="array" aca="1" ref="AD160" ca="1">IF($R158=2,
         IF(AND(ACOMPANHAMENTO="PLE",ISNUMBER($F158)),
                SUMIF((OFFSET(CÁLCULO!$AM$15:$AW$15,$F158,0,OFFSET(ORÇAMENTO!$D$15,CRONO!$F158,0))),CRONO!AD$12,OFFSET(CÁLCULO!$AB$15:$AL$15,$F158,0,OFFSET(ORÇAMENTO!$D$15,CRONO!$F158,0)))
                +IF(AND($F160&lt;&gt;"",$F160&lt;&gt;0),
                        SUMIF(CÁLCULO!$AM$15:$AW$44,CRONO!AD$12,CÁLCULO!$AB$15:$AL$44)/(ORÇAMENTO!$X$15-CÁLCULO.TotalAdmLocal)*CRONO!$F160,
                        0),
                 AD159*$S158),
          SUMIF(OFFSET($S160,1,0,$R158-2),($M158+1)&amp;"$",OFFSET(AD160,1,0,$R158-2)))</f>
        <v>0</v>
      </c>
      <c r="AE160" s="202" cm="1">
        <f t="array" aca="1" ref="AE160" ca="1">IF($R158=2,
         IF(AND(ACOMPANHAMENTO="PLE",ISNUMBER($F158)),
                SUMIF((OFFSET(CÁLCULO!$AM$15:$AW$15,$F158,0,OFFSET(ORÇAMENTO!$D$15,CRONO!$F158,0))),CRONO!AE$12,OFFSET(CÁLCULO!$AB$15:$AL$15,$F158,0,OFFSET(ORÇAMENTO!$D$15,CRONO!$F158,0)))
                +IF(AND($F160&lt;&gt;"",$F160&lt;&gt;0),
                        SUMIF(CÁLCULO!$AM$15:$AW$44,CRONO!AE$12,CÁLCULO!$AB$15:$AL$44)/(ORÇAMENTO!$X$15-CÁLCULO.TotalAdmLocal)*CRONO!$F160,
                        0),
                 AE159*$S158),
          SUMIF(OFFSET($S160,1,0,$R158-2),($M158+1)&amp;"$",OFFSET(AE160,1,0,$R158-2)))</f>
        <v>0</v>
      </c>
      <c r="AF160" s="202" cm="1">
        <f t="array" aca="1" ref="AF160" ca="1">IF($R158=2,
         IF(AND(ACOMPANHAMENTO="PLE",ISNUMBER($F158)),
                SUMIF((OFFSET(CÁLCULO!$AM$15:$AW$15,$F158,0,OFFSET(ORÇAMENTO!$D$15,CRONO!$F158,0))),CRONO!AF$12,OFFSET(CÁLCULO!$AB$15:$AL$15,$F158,0,OFFSET(ORÇAMENTO!$D$15,CRONO!$F158,0)))
                +IF(AND($F160&lt;&gt;"",$F160&lt;&gt;0),
                        SUMIF(CÁLCULO!$AM$15:$AW$44,CRONO!AF$12,CÁLCULO!$AB$15:$AL$44)/(ORÇAMENTO!$X$15-CÁLCULO.TotalAdmLocal)*CRONO!$F160,
                        0),
                 AF159*$S158),
          SUMIF(OFFSET($S160,1,0,$R158-2),($M158+1)&amp;"$",OFFSET(AF160,1,0,$R158-2)))</f>
        <v>0</v>
      </c>
      <c r="AG160" s="534"/>
    </row>
    <row r="161" spans="1:33" x14ac:dyDescent="0.2">
      <c r="A161" s="186" t="str">
        <f t="shared" ref="A161" ca="1" si="300">IF($M161&gt;1,_xlfn.CONCAT($I161," ",$J161),"")</f>
        <v/>
      </c>
      <c r="B161" s="185">
        <f t="shared" ref="B161" ca="1" si="301">OFFSET(B161,-3,0)+1</f>
        <v>50</v>
      </c>
      <c r="C161" s="185">
        <f ca="1">IF($R161&lt;&gt;2,0,IF($S161=0,1,IF(F162&gt;0,OFFSET(QCI!$M$13,SUBSTITUTE(F162,".",""),0),OFFSET(ORÇAMENTO!$AA$15,CRONO!$F161,0))/$S161))</f>
        <v>0</v>
      </c>
      <c r="D161" s="185">
        <f ca="1">IF($R161&lt;&gt;2,0,IF($S161=0,1,IF(F162&gt;0,OFFSET(QCI!$N$13,SUBSTITUTE(F162,".",""),0),OFFSET(ORÇAMENTO!$AB$15,CRONO!$F161,0))/$S161))</f>
        <v>0</v>
      </c>
      <c r="E161" s="188" t="e" cm="1">
        <f t="array" aca="1" ref="E161" ca="1">IF(AND($R161=2,ACOMPANHAMENTO="BM"),ROUND(E162,4),E163/$S161)</f>
        <v>#VALUE!</v>
      </c>
      <c r="F161" s="185" t="e" cm="1">
        <f t="array" aca="1" ref="F161" ca="1">IF(B161&lt;=ORÇAMENTO.MáximoListaCrono,MATCH(B161,ORÇAMENTO.ListaCrono,0),NA())</f>
        <v>#N/A</v>
      </c>
      <c r="G161" s="185" t="str">
        <f t="shared" ref="G161" ca="1" si="302">IF(AND($F162&lt;&gt;-1,$S161&gt;0),"F","")</f>
        <v/>
      </c>
      <c r="H161" s="189" t="str" cm="1">
        <f t="array" aca="1" ref="H161" ca="1">IF(OR(S161=0,S161=""),"Linha",IF(AND(OR(ACOMPANHAMENTO="PLE",$R161&lt;&gt;2),$F162=0),"Linha",ROUND(1-SUM(U161:AG161),4)))</f>
        <v>Linha</v>
      </c>
      <c r="I161" s="190" t="str">
        <f ca="1">IF($F162=0,OFFSET(ORÇAMENTO!O$15,$F161,0),IF($F162&lt;&gt;-1,OFFSET(QCI!$D$13,$F162,0),""))</f>
        <v/>
      </c>
      <c r="J161" s="191" t="str">
        <f ca="1">IF($F162=0,OFFSET(ORÇAMENTO!R$15,$F161,0),IF($F162&lt;&gt;-1,OFFSET(QCI!$G$13,$F162,0),""))</f>
        <v/>
      </c>
      <c r="K161" s="191"/>
      <c r="L161" s="191"/>
      <c r="M161" s="192">
        <f ca="1">IF($F162=0,OFFSET(ORÇAMENTO!C$15,$F161,0),1)</f>
        <v>1</v>
      </c>
      <c r="N161" s="193">
        <f t="shared" ref="N161" ca="1" si="303">IF($F162=-1,0,IF(N$13&lt;=$M161,IF(ISERROR(MATCH(N$13,OFFSET($M161,1,0,ROW($M$164)-ROW($M161)-1),0)),ROW($M$164)-ROW($M161)-1,MATCH(N$13,OFFSET($M161,1,0,ROW($M$164)-ROW($M161)-1),0)-1),0))</f>
        <v>0</v>
      </c>
      <c r="O161" s="193">
        <f t="shared" ref="O161" ca="1" si="304">IF($F162=-1,0,IF(O$13&lt;=$M161,IF(ISERROR(MATCH(O$13,OFFSET($M161,1,0,ROW($M$164)-ROW($M161)-1),0)),ROW($M$164)-ROW($M161)-1,MATCH(O$13,OFFSET($M161,1,0,ROW($M$164)-ROW($M161)-1),0)-1),0))</f>
        <v>0</v>
      </c>
      <c r="P161" s="193">
        <f t="shared" ref="P161" ca="1" si="305">IF($F162=-1,0,IF(P$13&lt;=$M161,IF(ISERROR(MATCH(P$13,OFFSET($M161,1,0,ROW($M$164)-ROW($M161)-1),0)),ROW($M$164)-ROW($M161)-1,MATCH(P$13,OFFSET($M161,1,0,ROW($M$164)-ROW($M161)-1),0)-1),0))</f>
        <v>0</v>
      </c>
      <c r="Q161" s="193">
        <f t="shared" ref="Q161" ca="1" si="306">IF($F162=-1,0,IF(Q$13&lt;=$M161,IF(ISERROR(MATCH(Q$13,OFFSET($M161,1,0,ROW($M$164)-ROW($M161)-1),0)),ROW($M$164)-ROW($M161)-1,MATCH(Q$13,OFFSET($M161,1,0,ROW($M$164)-ROW($M161)-1),0)-1),0))</f>
        <v>0</v>
      </c>
      <c r="R161" s="193">
        <f t="shared" ref="R161" ca="1" si="307">MIN(OFFSET(M161,0,1,,M161))</f>
        <v>0</v>
      </c>
      <c r="S161" s="194" t="str">
        <f ca="1">IF($F162=0,OFFSET(ORÇAMENTO!X$15,$F161,0),IF($F162&lt;&gt;-1,OFFSET(QCI!$O$13,$F162,0),""))</f>
        <v/>
      </c>
      <c r="T161" s="195" t="s">
        <v>785</v>
      </c>
      <c r="U161" s="188" t="e" cm="1">
        <f t="array" aca="1" ref="U161" ca="1">IF(AND($R161=2,ACOMPANHAMENTO="BM"),ROUND(U162,4),U163/$S161)</f>
        <v>#VALUE!</v>
      </c>
      <c r="V161" s="188" t="e" cm="1">
        <f t="array" aca="1" ref="V161" ca="1">IF(AND($R161=2,ACOMPANHAMENTO="BM"),ROUND(V162,4),V163/$S161)</f>
        <v>#VALUE!</v>
      </c>
      <c r="W161" s="188" t="e" cm="1">
        <f t="array" aca="1" ref="W161" ca="1">IF(AND($R161=2,ACOMPANHAMENTO="BM"),ROUND(W162,4),W163/$S161)</f>
        <v>#VALUE!</v>
      </c>
      <c r="X161" s="188" t="e" cm="1">
        <f t="array" aca="1" ref="X161" ca="1">IF(AND($R161=2,ACOMPANHAMENTO="BM"),ROUND(X162,4),X163/$S161)</f>
        <v>#VALUE!</v>
      </c>
      <c r="Y161" s="188" t="e" cm="1">
        <f t="array" aca="1" ref="Y161" ca="1">IF(AND($R161=2,ACOMPANHAMENTO="BM"),ROUND(Y162,4),Y163/$S161)</f>
        <v>#VALUE!</v>
      </c>
      <c r="Z161" s="188" t="e" cm="1">
        <f t="array" aca="1" ref="Z161" ca="1">IF(AND($R161=2,ACOMPANHAMENTO="BM"),ROUND(Z162,4),Z163/$S161)</f>
        <v>#VALUE!</v>
      </c>
      <c r="AA161" s="188" t="e" cm="1">
        <f t="array" aca="1" ref="AA161" ca="1">IF(AND($R161=2,ACOMPANHAMENTO="BM"),ROUND(AA162,4),AA163/$S161)</f>
        <v>#VALUE!</v>
      </c>
      <c r="AB161" s="188" t="e" cm="1">
        <f t="array" aca="1" ref="AB161" ca="1">IF(AND($R161=2,ACOMPANHAMENTO="BM"),ROUND(AB162,4),AB163/$S161)</f>
        <v>#VALUE!</v>
      </c>
      <c r="AC161" s="188" t="e" cm="1">
        <f t="array" aca="1" ref="AC161" ca="1">IF(AND($R161=2,ACOMPANHAMENTO="BM"),ROUND(AC162,4),AC163/$S161)</f>
        <v>#VALUE!</v>
      </c>
      <c r="AD161" s="188" t="e" cm="1">
        <f t="array" aca="1" ref="AD161" ca="1">IF(AND($R161=2,ACOMPANHAMENTO="BM"),ROUND(AD162,4),AD163/$S161)</f>
        <v>#VALUE!</v>
      </c>
      <c r="AE161" s="188" t="e" cm="1">
        <f t="array" aca="1" ref="AE161" ca="1">IF(AND($R161=2,ACOMPANHAMENTO="BM"),ROUND(AE162,4),AE163/$S161)</f>
        <v>#VALUE!</v>
      </c>
      <c r="AF161" s="188" t="e" cm="1">
        <f t="array" aca="1" ref="AF161" ca="1">IF(AND($R161=2,ACOMPANHAMENTO="BM"),ROUND(AF162,4),AF163/$S161)</f>
        <v>#VALUE!</v>
      </c>
      <c r="AG161" s="534"/>
    </row>
    <row r="162" spans="1:33" ht="12.75" customHeight="1" x14ac:dyDescent="0.2">
      <c r="E162" s="587"/>
      <c r="F162" s="185">
        <f ca="1">IF(ISERROR(F161),IF(1+COUNTIF($M$13:OFFSET(M161,-1,0),1)&lt;=MAX(QCI!$D$13:$D$24),1+COUNTIF($M$13:OFFSET(M161,-1,0),1),-1),0)</f>
        <v>-1</v>
      </c>
      <c r="G162" s="185" t="str" cm="1">
        <f t="array" aca="1" ref="G162" ca="1">IF(ACOMPANHAMENTO="BM",OFFSET(G162,-1,0),"")</f>
        <v/>
      </c>
      <c r="H162" s="196" t="str" cm="1">
        <f t="array" aca="1" ref="H162" ca="1">IF(OR(S161=0,S161=""),"vazia",IF(AND(OR(ACOMPANHAMENTO="PLE",$R161&lt;&gt;2),$F162=0),"calculada","--&gt;"))</f>
        <v>vazia</v>
      </c>
      <c r="I162" s="197"/>
      <c r="J162" s="198" t="str">
        <f t="shared" ref="J162" ca="1" si="308">IF(AND(H161&lt;&gt;0,ISNUMBER(H161)),"PREENCHA ESTA LINHA --&gt;","")</f>
        <v/>
      </c>
      <c r="K162" s="198"/>
      <c r="L162" s="198"/>
      <c r="M162" s="199"/>
      <c r="N162" s="199"/>
      <c r="O162" s="199"/>
      <c r="P162" s="199"/>
      <c r="Q162" s="199"/>
      <c r="R162" s="199"/>
      <c r="S162" s="200"/>
      <c r="T162" s="201"/>
      <c r="U162" s="587"/>
      <c r="V162" s="587"/>
      <c r="W162" s="587"/>
      <c r="X162" s="587"/>
      <c r="Y162" s="587"/>
      <c r="Z162" s="587"/>
      <c r="AA162" s="587"/>
      <c r="AB162" s="587"/>
      <c r="AC162" s="587"/>
      <c r="AD162" s="587"/>
      <c r="AE162" s="587"/>
      <c r="AF162" s="587"/>
      <c r="AG162" s="534"/>
    </row>
    <row r="163" spans="1:33" ht="12.75" customHeight="1" x14ac:dyDescent="0.2">
      <c r="D163" s="533"/>
      <c r="E163" s="202" cm="1">
        <f t="array" aca="1" ref="E163" ca="1">IF($R161=2,
         IF(AND(ACOMPANHAMENTO="PLE",ISNUMBER($F161)),
                SUMIF((OFFSET(CÁLCULO!$AM$15:$AW$15,$F161,0,OFFSET(ORÇAMENTO!$D$15,CRONO!$F161,0))),CRONO!E$12,OFFSET(CÁLCULO!$AB$15:$AL$15,$F161,0,OFFSET(ORÇAMENTO!$D$15,CRONO!$F161,0)))
                +IF(AND($F163&lt;&gt;"",$F163&lt;&gt;0),
                        SUMIF(CÁLCULO!$AM$15:$AW$44,CRONO!E$12,CÁLCULO!$AB$15:$AL$44)/(ORÇAMENTO!$X$15-CÁLCULO.TotalAdmLocal)*CRONO!$F163,
                        0),
                 E162*$S161),
          SUMIF(OFFSET($S163,1,0,$R161-2),($M161+1)&amp;"$",OFFSET(E163,1,0,$R161-2)))</f>
        <v>0</v>
      </c>
      <c r="F163" s="185" t="str">
        <f ca="1">IF(OR($R161&lt;&gt;2,AUTOEVENTO&lt;&gt;"manual",$F162&gt;0),"",
        IF(Import.TipoArredondamento="Tradicional",
              SUMIF(OFFSET(CÁLCULO!$M$15,CRONO!$F161,0,OFFSET(ORÇAMENTO!$D$15,CRONO!$F161,0)),1,OFFSET(ORÇAMENTO!$X$15,CRONO!$F161,0,OFFSET(ORÇAMENTO!$D$15,CRONO!$F161,0))),
              0))</f>
        <v/>
      </c>
      <c r="H163" s="203"/>
      <c r="S163" s="204" t="str">
        <f t="shared" ref="S163" ca="1" si="309">M161&amp;"$"</f>
        <v>1$</v>
      </c>
      <c r="T163" s="205"/>
      <c r="U163" s="202" cm="1">
        <f t="array" aca="1" ref="U163" ca="1">IF($R161=2,
         IF(AND(ACOMPANHAMENTO="PLE",ISNUMBER($F161)),
                SUMIF((OFFSET(CÁLCULO!$AM$15:$AW$15,$F161,0,OFFSET(ORÇAMENTO!$D$15,CRONO!$F161,0))),CRONO!U$12,OFFSET(CÁLCULO!$AB$15:$AL$15,$F161,0,OFFSET(ORÇAMENTO!$D$15,CRONO!$F161,0)))
                +IF(AND($F163&lt;&gt;"",$F163&lt;&gt;0),
                        SUMIF(CÁLCULO!$AM$15:$AW$44,CRONO!U$12,CÁLCULO!$AB$15:$AL$44)/(ORÇAMENTO!$X$15-CÁLCULO.TotalAdmLocal)*CRONO!$F163,
                        0),
                 U162*$S161),
          SUMIF(OFFSET($S163,1,0,$R161-2),($M161+1)&amp;"$",OFFSET(U163,1,0,$R161-2)))</f>
        <v>0</v>
      </c>
      <c r="V163" s="202" cm="1">
        <f t="array" aca="1" ref="V163" ca="1">IF($R161=2,
         IF(AND(ACOMPANHAMENTO="PLE",ISNUMBER($F161)),
                SUMIF((OFFSET(CÁLCULO!$AM$15:$AW$15,$F161,0,OFFSET(ORÇAMENTO!$D$15,CRONO!$F161,0))),CRONO!V$12,OFFSET(CÁLCULO!$AB$15:$AL$15,$F161,0,OFFSET(ORÇAMENTO!$D$15,CRONO!$F161,0)))
                +IF(AND($F163&lt;&gt;"",$F163&lt;&gt;0),
                        SUMIF(CÁLCULO!$AM$15:$AW$44,CRONO!V$12,CÁLCULO!$AB$15:$AL$44)/(ORÇAMENTO!$X$15-CÁLCULO.TotalAdmLocal)*CRONO!$F163,
                        0),
                 V162*$S161),
          SUMIF(OFFSET($S163,1,0,$R161-2),($M161+1)&amp;"$",OFFSET(V163,1,0,$R161-2)))</f>
        <v>0</v>
      </c>
      <c r="W163" s="202" cm="1">
        <f t="array" aca="1" ref="W163" ca="1">IF($R161=2,
         IF(AND(ACOMPANHAMENTO="PLE",ISNUMBER($F161)),
                SUMIF((OFFSET(CÁLCULO!$AM$15:$AW$15,$F161,0,OFFSET(ORÇAMENTO!$D$15,CRONO!$F161,0))),CRONO!W$12,OFFSET(CÁLCULO!$AB$15:$AL$15,$F161,0,OFFSET(ORÇAMENTO!$D$15,CRONO!$F161,0)))
                +IF(AND($F163&lt;&gt;"",$F163&lt;&gt;0),
                        SUMIF(CÁLCULO!$AM$15:$AW$44,CRONO!W$12,CÁLCULO!$AB$15:$AL$44)/(ORÇAMENTO!$X$15-CÁLCULO.TotalAdmLocal)*CRONO!$F163,
                        0),
                 W162*$S161),
          SUMIF(OFFSET($S163,1,0,$R161-2),($M161+1)&amp;"$",OFFSET(W163,1,0,$R161-2)))</f>
        <v>0</v>
      </c>
      <c r="X163" s="202" cm="1">
        <f t="array" aca="1" ref="X163" ca="1">IF($R161=2,
         IF(AND(ACOMPANHAMENTO="PLE",ISNUMBER($F161)),
                SUMIF((OFFSET(CÁLCULO!$AM$15:$AW$15,$F161,0,OFFSET(ORÇAMENTO!$D$15,CRONO!$F161,0))),CRONO!X$12,OFFSET(CÁLCULO!$AB$15:$AL$15,$F161,0,OFFSET(ORÇAMENTO!$D$15,CRONO!$F161,0)))
                +IF(AND($F163&lt;&gt;"",$F163&lt;&gt;0),
                        SUMIF(CÁLCULO!$AM$15:$AW$44,CRONO!X$12,CÁLCULO!$AB$15:$AL$44)/(ORÇAMENTO!$X$15-CÁLCULO.TotalAdmLocal)*CRONO!$F163,
                        0),
                 X162*$S161),
          SUMIF(OFFSET($S163,1,0,$R161-2),($M161+1)&amp;"$",OFFSET(X163,1,0,$R161-2)))</f>
        <v>0</v>
      </c>
      <c r="Y163" s="202" cm="1">
        <f t="array" aca="1" ref="Y163" ca="1">IF($R161=2,
         IF(AND(ACOMPANHAMENTO="PLE",ISNUMBER($F161)),
                SUMIF((OFFSET(CÁLCULO!$AM$15:$AW$15,$F161,0,OFFSET(ORÇAMENTO!$D$15,CRONO!$F161,0))),CRONO!Y$12,OFFSET(CÁLCULO!$AB$15:$AL$15,$F161,0,OFFSET(ORÇAMENTO!$D$15,CRONO!$F161,0)))
                +IF(AND($F163&lt;&gt;"",$F163&lt;&gt;0),
                        SUMIF(CÁLCULO!$AM$15:$AW$44,CRONO!Y$12,CÁLCULO!$AB$15:$AL$44)/(ORÇAMENTO!$X$15-CÁLCULO.TotalAdmLocal)*CRONO!$F163,
                        0),
                 Y162*$S161),
          SUMIF(OFFSET($S163,1,0,$R161-2),($M161+1)&amp;"$",OFFSET(Y163,1,0,$R161-2)))</f>
        <v>0</v>
      </c>
      <c r="Z163" s="202" cm="1">
        <f t="array" aca="1" ref="Z163" ca="1">IF($R161=2,
         IF(AND(ACOMPANHAMENTO="PLE",ISNUMBER($F161)),
                SUMIF((OFFSET(CÁLCULO!$AM$15:$AW$15,$F161,0,OFFSET(ORÇAMENTO!$D$15,CRONO!$F161,0))),CRONO!Z$12,OFFSET(CÁLCULO!$AB$15:$AL$15,$F161,0,OFFSET(ORÇAMENTO!$D$15,CRONO!$F161,0)))
                +IF(AND($F163&lt;&gt;"",$F163&lt;&gt;0),
                        SUMIF(CÁLCULO!$AM$15:$AW$44,CRONO!Z$12,CÁLCULO!$AB$15:$AL$44)/(ORÇAMENTO!$X$15-CÁLCULO.TotalAdmLocal)*CRONO!$F163,
                        0),
                 Z162*$S161),
          SUMIF(OFFSET($S163,1,0,$R161-2),($M161+1)&amp;"$",OFFSET(Z163,1,0,$R161-2)))</f>
        <v>0</v>
      </c>
      <c r="AA163" s="202" cm="1">
        <f t="array" aca="1" ref="AA163" ca="1">IF($R161=2,
         IF(AND(ACOMPANHAMENTO="PLE",ISNUMBER($F161)),
                SUMIF((OFFSET(CÁLCULO!$AM$15:$AW$15,$F161,0,OFFSET(ORÇAMENTO!$D$15,CRONO!$F161,0))),CRONO!AA$12,OFFSET(CÁLCULO!$AB$15:$AL$15,$F161,0,OFFSET(ORÇAMENTO!$D$15,CRONO!$F161,0)))
                +IF(AND($F163&lt;&gt;"",$F163&lt;&gt;0),
                        SUMIF(CÁLCULO!$AM$15:$AW$44,CRONO!AA$12,CÁLCULO!$AB$15:$AL$44)/(ORÇAMENTO!$X$15-CÁLCULO.TotalAdmLocal)*CRONO!$F163,
                        0),
                 AA162*$S161),
          SUMIF(OFFSET($S163,1,0,$R161-2),($M161+1)&amp;"$",OFFSET(AA163,1,0,$R161-2)))</f>
        <v>0</v>
      </c>
      <c r="AB163" s="202" cm="1">
        <f t="array" aca="1" ref="AB163" ca="1">IF($R161=2,
         IF(AND(ACOMPANHAMENTO="PLE",ISNUMBER($F161)),
                SUMIF((OFFSET(CÁLCULO!$AM$15:$AW$15,$F161,0,OFFSET(ORÇAMENTO!$D$15,CRONO!$F161,0))),CRONO!AB$12,OFFSET(CÁLCULO!$AB$15:$AL$15,$F161,0,OFFSET(ORÇAMENTO!$D$15,CRONO!$F161,0)))
                +IF(AND($F163&lt;&gt;"",$F163&lt;&gt;0),
                        SUMIF(CÁLCULO!$AM$15:$AW$44,CRONO!AB$12,CÁLCULO!$AB$15:$AL$44)/(ORÇAMENTO!$X$15-CÁLCULO.TotalAdmLocal)*CRONO!$F163,
                        0),
                 AB162*$S161),
          SUMIF(OFFSET($S163,1,0,$R161-2),($M161+1)&amp;"$",OFFSET(AB163,1,0,$R161-2)))</f>
        <v>0</v>
      </c>
      <c r="AC163" s="202" cm="1">
        <f t="array" aca="1" ref="AC163" ca="1">IF($R161=2,
         IF(AND(ACOMPANHAMENTO="PLE",ISNUMBER($F161)),
                SUMIF((OFFSET(CÁLCULO!$AM$15:$AW$15,$F161,0,OFFSET(ORÇAMENTO!$D$15,CRONO!$F161,0))),CRONO!AC$12,OFFSET(CÁLCULO!$AB$15:$AL$15,$F161,0,OFFSET(ORÇAMENTO!$D$15,CRONO!$F161,0)))
                +IF(AND($F163&lt;&gt;"",$F163&lt;&gt;0),
                        SUMIF(CÁLCULO!$AM$15:$AW$44,CRONO!AC$12,CÁLCULO!$AB$15:$AL$44)/(ORÇAMENTO!$X$15-CÁLCULO.TotalAdmLocal)*CRONO!$F163,
                        0),
                 AC162*$S161),
          SUMIF(OFFSET($S163,1,0,$R161-2),($M161+1)&amp;"$",OFFSET(AC163,1,0,$R161-2)))</f>
        <v>0</v>
      </c>
      <c r="AD163" s="202" cm="1">
        <f t="array" aca="1" ref="AD163" ca="1">IF($R161=2,
         IF(AND(ACOMPANHAMENTO="PLE",ISNUMBER($F161)),
                SUMIF((OFFSET(CÁLCULO!$AM$15:$AW$15,$F161,0,OFFSET(ORÇAMENTO!$D$15,CRONO!$F161,0))),CRONO!AD$12,OFFSET(CÁLCULO!$AB$15:$AL$15,$F161,0,OFFSET(ORÇAMENTO!$D$15,CRONO!$F161,0)))
                +IF(AND($F163&lt;&gt;"",$F163&lt;&gt;0),
                        SUMIF(CÁLCULO!$AM$15:$AW$44,CRONO!AD$12,CÁLCULO!$AB$15:$AL$44)/(ORÇAMENTO!$X$15-CÁLCULO.TotalAdmLocal)*CRONO!$F163,
                        0),
                 AD162*$S161),
          SUMIF(OFFSET($S163,1,0,$R161-2),($M161+1)&amp;"$",OFFSET(AD163,1,0,$R161-2)))</f>
        <v>0</v>
      </c>
      <c r="AE163" s="202" cm="1">
        <f t="array" aca="1" ref="AE163" ca="1">IF($R161=2,
         IF(AND(ACOMPANHAMENTO="PLE",ISNUMBER($F161)),
                SUMIF((OFFSET(CÁLCULO!$AM$15:$AW$15,$F161,0,OFFSET(ORÇAMENTO!$D$15,CRONO!$F161,0))),CRONO!AE$12,OFFSET(CÁLCULO!$AB$15:$AL$15,$F161,0,OFFSET(ORÇAMENTO!$D$15,CRONO!$F161,0)))
                +IF(AND($F163&lt;&gt;"",$F163&lt;&gt;0),
                        SUMIF(CÁLCULO!$AM$15:$AW$44,CRONO!AE$12,CÁLCULO!$AB$15:$AL$44)/(ORÇAMENTO!$X$15-CÁLCULO.TotalAdmLocal)*CRONO!$F163,
                        0),
                 AE162*$S161),
          SUMIF(OFFSET($S163,1,0,$R161-2),($M161+1)&amp;"$",OFFSET(AE163,1,0,$R161-2)))</f>
        <v>0</v>
      </c>
      <c r="AF163" s="202" cm="1">
        <f t="array" aca="1" ref="AF163" ca="1">IF($R161=2,
         IF(AND(ACOMPANHAMENTO="PLE",ISNUMBER($F161)),
                SUMIF((OFFSET(CÁLCULO!$AM$15:$AW$15,$F161,0,OFFSET(ORÇAMENTO!$D$15,CRONO!$F161,0))),CRONO!AF$12,OFFSET(CÁLCULO!$AB$15:$AL$15,$F161,0,OFFSET(ORÇAMENTO!$D$15,CRONO!$F161,0)))
                +IF(AND($F163&lt;&gt;"",$F163&lt;&gt;0),
                        SUMIF(CÁLCULO!$AM$15:$AW$44,CRONO!AF$12,CÁLCULO!$AB$15:$AL$44)/(ORÇAMENTO!$X$15-CÁLCULO.TotalAdmLocal)*CRONO!$F163,
                        0),
                 AF162*$S161),
          SUMIF(OFFSET($S163,1,0,$R161-2),($M161+1)&amp;"$",OFFSET(AF163,1,0,$R161-2)))</f>
        <v>0</v>
      </c>
      <c r="AG163" s="534"/>
    </row>
    <row r="164" spans="1:33" ht="5.0999999999999996" customHeight="1" x14ac:dyDescent="0.2">
      <c r="E164" s="640"/>
      <c r="G164" s="185" t="s">
        <v>536</v>
      </c>
      <c r="H164" s="432"/>
      <c r="I164" s="641"/>
      <c r="J164" s="642"/>
      <c r="K164" s="642"/>
      <c r="L164" s="642"/>
      <c r="M164" s="643" t="s">
        <v>797</v>
      </c>
      <c r="N164" s="643"/>
      <c r="O164" s="643"/>
      <c r="P164" s="643"/>
      <c r="Q164" s="643"/>
      <c r="R164" s="643"/>
      <c r="S164" s="644"/>
      <c r="T164" s="644"/>
      <c r="U164" s="642"/>
      <c r="V164" s="642"/>
      <c r="W164" s="642"/>
      <c r="X164" s="642"/>
      <c r="Y164" s="642"/>
      <c r="Z164" s="642"/>
      <c r="AA164" s="642"/>
      <c r="AB164" s="642"/>
      <c r="AC164" s="642"/>
      <c r="AD164" s="642"/>
      <c r="AE164" s="642"/>
      <c r="AF164" s="642"/>
      <c r="AG164" s="534"/>
    </row>
    <row r="165" spans="1:33" ht="12.75" customHeight="1" x14ac:dyDescent="0.2">
      <c r="E165" s="528">
        <f ca="1">E169/$R$165</f>
        <v>0.6227902760567875</v>
      </c>
      <c r="G165" s="185" t="s">
        <v>536</v>
      </c>
      <c r="I165" s="776" t="str">
        <f ca="1">"Total:    R$ "&amp;TEXT(R165,"#.##0,00")</f>
        <v>Total:    R$ 424.489,11</v>
      </c>
      <c r="J165" s="776"/>
      <c r="K165" s="776"/>
      <c r="L165" s="227"/>
      <c r="R165" s="228">
        <f ca="1">SUMIF(M12:M164,1,S12:S164)</f>
        <v>424489.11</v>
      </c>
      <c r="S165" s="229"/>
      <c r="T165" s="230" t="s">
        <v>798</v>
      </c>
      <c r="U165" s="528">
        <f t="shared" ref="U165:AF165" ca="1" si="310">ROUND(U169,2)/$R$165</f>
        <v>0.6227902760567875</v>
      </c>
      <c r="V165" s="528">
        <f t="shared" ca="1" si="310"/>
        <v>0.37720972394321262</v>
      </c>
      <c r="W165" s="528">
        <f t="shared" ca="1" si="310"/>
        <v>0</v>
      </c>
      <c r="X165" s="528">
        <f t="shared" ca="1" si="310"/>
        <v>0</v>
      </c>
      <c r="Y165" s="528">
        <f t="shared" ca="1" si="310"/>
        <v>0</v>
      </c>
      <c r="Z165" s="528">
        <f t="shared" ca="1" si="310"/>
        <v>0</v>
      </c>
      <c r="AA165" s="528">
        <f t="shared" ca="1" si="310"/>
        <v>0</v>
      </c>
      <c r="AB165" s="528">
        <f t="shared" ca="1" si="310"/>
        <v>0</v>
      </c>
      <c r="AC165" s="528">
        <f t="shared" ca="1" si="310"/>
        <v>0</v>
      </c>
      <c r="AD165" s="528">
        <f t="shared" ca="1" si="310"/>
        <v>0</v>
      </c>
      <c r="AE165" s="528">
        <f t="shared" ca="1" si="310"/>
        <v>0</v>
      </c>
      <c r="AF165" s="539">
        <f t="shared" ca="1" si="310"/>
        <v>0</v>
      </c>
      <c r="AG165" s="534"/>
    </row>
    <row r="166" spans="1:33" ht="15" customHeight="1" x14ac:dyDescent="0.2">
      <c r="E166" s="231">
        <f ca="1">IF(E$12=1,ROUND(E171,2),ROUND(E171,2)-ROUND(D171,2))</f>
        <v>242802.89</v>
      </c>
      <c r="G166" s="185" t="s">
        <v>536</v>
      </c>
      <c r="I166" s="776"/>
      <c r="J166" s="776"/>
      <c r="K166" s="776"/>
      <c r="L166" s="232"/>
      <c r="R166" s="228"/>
      <c r="S166" s="233"/>
      <c r="T166" s="234" t="str">
        <f>IF(import.recurso="FGTS","Financiamento:","Repasse:")</f>
        <v>Repasse:</v>
      </c>
      <c r="U166" s="231">
        <f t="shared" ref="U166:AF166" ca="1" si="311">IF(U$12=1,ROUND(U171,2),ROUND(U171,2)-ROUND(T171,2))</f>
        <v>242802.89</v>
      </c>
      <c r="V166" s="231">
        <f t="shared" ca="1" si="311"/>
        <v>147060.10999999999</v>
      </c>
      <c r="W166" s="231">
        <f t="shared" ca="1" si="311"/>
        <v>0</v>
      </c>
      <c r="X166" s="231">
        <f t="shared" ca="1" si="311"/>
        <v>0</v>
      </c>
      <c r="Y166" s="231">
        <f t="shared" ca="1" si="311"/>
        <v>0</v>
      </c>
      <c r="Z166" s="231">
        <f t="shared" ca="1" si="311"/>
        <v>0</v>
      </c>
      <c r="AA166" s="231">
        <f t="shared" ca="1" si="311"/>
        <v>0</v>
      </c>
      <c r="AB166" s="231">
        <f t="shared" ca="1" si="311"/>
        <v>0</v>
      </c>
      <c r="AC166" s="231">
        <f t="shared" ca="1" si="311"/>
        <v>0</v>
      </c>
      <c r="AD166" s="231">
        <f t="shared" ca="1" si="311"/>
        <v>0</v>
      </c>
      <c r="AE166" s="231">
        <f t="shared" ca="1" si="311"/>
        <v>0</v>
      </c>
      <c r="AF166" s="231">
        <f t="shared" ca="1" si="311"/>
        <v>0</v>
      </c>
      <c r="AG166" s="534"/>
    </row>
    <row r="167" spans="1:33" ht="12.75" customHeight="1" x14ac:dyDescent="0.2">
      <c r="E167" s="529">
        <f ca="1">IF(E$12=1,ROUND(E172,2),ROUND(E172,2)-ROUND(D172,2))</f>
        <v>21564.799999999999</v>
      </c>
      <c r="G167" s="185" t="s">
        <v>536</v>
      </c>
      <c r="I167" s="235"/>
      <c r="L167" s="236" t="s">
        <v>799</v>
      </c>
      <c r="R167" s="228"/>
      <c r="S167" s="237"/>
      <c r="T167" s="238" t="s">
        <v>800</v>
      </c>
      <c r="U167" s="529">
        <f t="shared" ref="U167:AF167" ca="1" si="312">IF(U$12=1,ROUND(U172,2),ROUND(U172,2)-ROUND(T172,2))</f>
        <v>21564.799999999999</v>
      </c>
      <c r="V167" s="529">
        <f t="shared" ca="1" si="312"/>
        <v>13061.310000000001</v>
      </c>
      <c r="W167" s="529">
        <f t="shared" ca="1" si="312"/>
        <v>0</v>
      </c>
      <c r="X167" s="529">
        <f t="shared" ca="1" si="312"/>
        <v>0</v>
      </c>
      <c r="Y167" s="529">
        <f t="shared" ca="1" si="312"/>
        <v>0</v>
      </c>
      <c r="Z167" s="529">
        <f t="shared" ca="1" si="312"/>
        <v>0</v>
      </c>
      <c r="AA167" s="529">
        <f t="shared" ca="1" si="312"/>
        <v>0</v>
      </c>
      <c r="AB167" s="529">
        <f t="shared" ca="1" si="312"/>
        <v>0</v>
      </c>
      <c r="AC167" s="529">
        <f t="shared" ca="1" si="312"/>
        <v>0</v>
      </c>
      <c r="AD167" s="529">
        <f t="shared" ca="1" si="312"/>
        <v>0</v>
      </c>
      <c r="AE167" s="529">
        <f t="shared" ca="1" si="312"/>
        <v>0</v>
      </c>
      <c r="AF167" s="529">
        <f t="shared" ca="1" si="312"/>
        <v>0</v>
      </c>
      <c r="AG167" s="534"/>
    </row>
    <row r="168" spans="1:33" x14ac:dyDescent="0.2">
      <c r="E168" s="239">
        <f ca="1">IF(E$12=1,ROUND(E173,2),ROUND(E173,2)-ROUND(D173,2))</f>
        <v>0</v>
      </c>
      <c r="G168" s="185" t="s">
        <v>536</v>
      </c>
      <c r="I168" s="235"/>
      <c r="L168" s="236"/>
      <c r="R168" s="228"/>
      <c r="S168" s="240"/>
      <c r="T168" s="241" t="s">
        <v>801</v>
      </c>
      <c r="U168" s="239">
        <f t="shared" ref="U168:AF168" ca="1" si="313">IF(U$12=1,ROUND(U173,2),ROUND(U173,2)-ROUND(T173,2))</f>
        <v>0</v>
      </c>
      <c r="V168" s="239">
        <f t="shared" ca="1" si="313"/>
        <v>0</v>
      </c>
      <c r="W168" s="239">
        <f t="shared" ca="1" si="313"/>
        <v>0</v>
      </c>
      <c r="X168" s="239">
        <f t="shared" ca="1" si="313"/>
        <v>0</v>
      </c>
      <c r="Y168" s="239">
        <f t="shared" ca="1" si="313"/>
        <v>0</v>
      </c>
      <c r="Z168" s="239">
        <f t="shared" ca="1" si="313"/>
        <v>0</v>
      </c>
      <c r="AA168" s="239">
        <f t="shared" ca="1" si="313"/>
        <v>0</v>
      </c>
      <c r="AB168" s="239">
        <f t="shared" ca="1" si="313"/>
        <v>0</v>
      </c>
      <c r="AC168" s="239">
        <f t="shared" ca="1" si="313"/>
        <v>0</v>
      </c>
      <c r="AD168" s="239">
        <f t="shared" ca="1" si="313"/>
        <v>0</v>
      </c>
      <c r="AE168" s="239">
        <f t="shared" ca="1" si="313"/>
        <v>0</v>
      </c>
      <c r="AF168" s="239">
        <f t="shared" ca="1" si="313"/>
        <v>0</v>
      </c>
      <c r="AG168" s="534"/>
    </row>
    <row r="169" spans="1:33" x14ac:dyDescent="0.2">
      <c r="E169" s="530">
        <f ca="1">IF(E$12=1,ROUND(E174,2),ROUND(E174,2)-ROUND(D174,2))</f>
        <v>264367.69</v>
      </c>
      <c r="G169" s="185" t="s">
        <v>536</v>
      </c>
      <c r="H169" s="536"/>
      <c r="L169" s="242"/>
      <c r="S169" s="243"/>
      <c r="T169" s="244" t="s">
        <v>802</v>
      </c>
      <c r="U169" s="530">
        <f t="shared" ref="U169:AF169" ca="1" si="314">IF(U$12=1,ROUND(U174,2),ROUND(U174,2)-ROUND(T174,2))</f>
        <v>264367.69</v>
      </c>
      <c r="V169" s="530">
        <f t="shared" ca="1" si="314"/>
        <v>160121.41999999998</v>
      </c>
      <c r="W169" s="530">
        <f t="shared" ca="1" si="314"/>
        <v>0</v>
      </c>
      <c r="X169" s="530">
        <f t="shared" ca="1" si="314"/>
        <v>0</v>
      </c>
      <c r="Y169" s="530">
        <f t="shared" ca="1" si="314"/>
        <v>0</v>
      </c>
      <c r="Z169" s="530">
        <f t="shared" ca="1" si="314"/>
        <v>0</v>
      </c>
      <c r="AA169" s="530">
        <f t="shared" ca="1" si="314"/>
        <v>0</v>
      </c>
      <c r="AB169" s="530">
        <f t="shared" ca="1" si="314"/>
        <v>0</v>
      </c>
      <c r="AC169" s="530">
        <f t="shared" ca="1" si="314"/>
        <v>0</v>
      </c>
      <c r="AD169" s="530">
        <f t="shared" ca="1" si="314"/>
        <v>0</v>
      </c>
      <c r="AE169" s="530">
        <f t="shared" ca="1" si="314"/>
        <v>0</v>
      </c>
      <c r="AF169" s="530">
        <f t="shared" ca="1" si="314"/>
        <v>0</v>
      </c>
      <c r="AG169" s="534"/>
    </row>
    <row r="170" spans="1:33" x14ac:dyDescent="0.2">
      <c r="E170" s="528">
        <f ca="1">ROUND(ROUND(E174,2)/$R$165,4)</f>
        <v>0.62280000000000002</v>
      </c>
      <c r="G170" s="185" t="s">
        <v>536</v>
      </c>
      <c r="L170" s="227"/>
      <c r="S170" s="229"/>
      <c r="T170" s="230" t="s">
        <v>798</v>
      </c>
      <c r="U170" s="528">
        <f t="shared" ref="U170:AF170" ca="1" si="315">ROUND(ROUND(U174,2)/$R$165,4)</f>
        <v>0.62280000000000002</v>
      </c>
      <c r="V170" s="528">
        <f t="shared" ca="1" si="315"/>
        <v>1</v>
      </c>
      <c r="W170" s="528">
        <f t="shared" ca="1" si="315"/>
        <v>1</v>
      </c>
      <c r="X170" s="528">
        <f t="shared" ca="1" si="315"/>
        <v>1</v>
      </c>
      <c r="Y170" s="528">
        <f t="shared" ca="1" si="315"/>
        <v>1</v>
      </c>
      <c r="Z170" s="528">
        <f t="shared" ca="1" si="315"/>
        <v>1</v>
      </c>
      <c r="AA170" s="528">
        <f t="shared" ca="1" si="315"/>
        <v>1</v>
      </c>
      <c r="AB170" s="528">
        <f t="shared" ca="1" si="315"/>
        <v>1</v>
      </c>
      <c r="AC170" s="528">
        <f t="shared" ca="1" si="315"/>
        <v>1</v>
      </c>
      <c r="AD170" s="528">
        <f t="shared" ca="1" si="315"/>
        <v>1</v>
      </c>
      <c r="AE170" s="528">
        <f t="shared" ca="1" si="315"/>
        <v>1</v>
      </c>
      <c r="AF170" s="528">
        <f t="shared" ca="1" si="315"/>
        <v>1</v>
      </c>
      <c r="AG170" s="534"/>
    </row>
    <row r="171" spans="1:33" x14ac:dyDescent="0.2">
      <c r="E171" s="231">
        <f ca="1">ROUND(E174-E173-E172,2)</f>
        <v>242802.89</v>
      </c>
      <c r="G171" s="185" t="s">
        <v>536</v>
      </c>
      <c r="L171" s="232"/>
      <c r="S171" s="233"/>
      <c r="T171" s="234" t="str">
        <f>IF(import.recurso="FGTS","Financiamento:","Repasse:")</f>
        <v>Repasse:</v>
      </c>
      <c r="U171" s="231">
        <f t="shared" ref="U171:AF171" ca="1" si="316">ROUND(U174-U173-U172,2)</f>
        <v>242802.89</v>
      </c>
      <c r="V171" s="231">
        <f t="shared" ca="1" si="316"/>
        <v>389863</v>
      </c>
      <c r="W171" s="231">
        <f t="shared" ca="1" si="316"/>
        <v>389863</v>
      </c>
      <c r="X171" s="231">
        <f t="shared" ca="1" si="316"/>
        <v>389863</v>
      </c>
      <c r="Y171" s="231">
        <f t="shared" ca="1" si="316"/>
        <v>389863</v>
      </c>
      <c r="Z171" s="231">
        <f t="shared" ca="1" si="316"/>
        <v>389863</v>
      </c>
      <c r="AA171" s="231">
        <f t="shared" ca="1" si="316"/>
        <v>389863</v>
      </c>
      <c r="AB171" s="231">
        <f t="shared" ca="1" si="316"/>
        <v>389863</v>
      </c>
      <c r="AC171" s="231">
        <f t="shared" ca="1" si="316"/>
        <v>389863</v>
      </c>
      <c r="AD171" s="231">
        <f t="shared" ca="1" si="316"/>
        <v>389863</v>
      </c>
      <c r="AE171" s="231">
        <f t="shared" ca="1" si="316"/>
        <v>389863</v>
      </c>
      <c r="AF171" s="231">
        <f t="shared" ca="1" si="316"/>
        <v>389863</v>
      </c>
      <c r="AG171" s="534"/>
    </row>
    <row r="172" spans="1:33" x14ac:dyDescent="0.2">
      <c r="E172" s="529" cm="1">
        <f t="array" aca="1" ref="E172" ca="1">IF(E$12=1,0,OFFSET(E172,0,-1))+SUM((OFFSET($C$13,1,0):OFFSET($C$164,-3,0))*IF(ISNUMBER(OFFSET(E$11,5,0):OFFSET(E$164,-1,0)),OFFSET(E$11,5,0):OFFSET(E$164,-1,0),0))</f>
        <v>21564.804605672678</v>
      </c>
      <c r="G172" s="185" t="s">
        <v>536</v>
      </c>
      <c r="L172" s="236" t="s">
        <v>803</v>
      </c>
      <c r="S172" s="237"/>
      <c r="T172" s="238" t="s">
        <v>800</v>
      </c>
      <c r="U172" s="529" cm="1">
        <f t="array" aca="1" ref="U172" ca="1">IF(U$12=1,0,OFFSET(U172,0,-1))+SUM((OFFSET($C$13,1,0):OFFSET($C$164,-3,0))*IF(ISNUMBER(OFFSET(U$11,5,0):OFFSET(U$164,-1,0)),OFFSET(U$11,5,0):OFFSET(U$164,-1,0),0))</f>
        <v>21564.804605672678</v>
      </c>
      <c r="V172" s="529" cm="1">
        <f t="array" aca="1" ref="V172" ca="1">IF(V$12=1,0,OFFSET(V172,0,-1))+SUM((OFFSET($C$13,1,0):OFFSET($C$164,-3,0))*IF(ISNUMBER(OFFSET(V$11,5,0):OFFSET(V$164,-1,0)),OFFSET(V$11,5,0):OFFSET(V$164,-1,0),0))</f>
        <v>34626.109999999986</v>
      </c>
      <c r="W172" s="529" cm="1">
        <f t="array" aca="1" ref="W172" ca="1">IF(W$12=1,0,OFFSET(W172,0,-1))+SUM((OFFSET($C$13,1,0):OFFSET($C$164,-3,0))*IF(ISNUMBER(OFFSET(W$11,5,0):OFFSET(W$164,-1,0)),OFFSET(W$11,5,0):OFFSET(W$164,-1,0),0))</f>
        <v>34626.109999999986</v>
      </c>
      <c r="X172" s="529" cm="1">
        <f t="array" aca="1" ref="X172" ca="1">IF(X$12=1,0,OFFSET(X172,0,-1))+SUM((OFFSET($C$13,1,0):OFFSET($C$164,-3,0))*IF(ISNUMBER(OFFSET(X$11,5,0):OFFSET(X$164,-1,0)),OFFSET(X$11,5,0):OFFSET(X$164,-1,0),0))</f>
        <v>34626.109999999986</v>
      </c>
      <c r="Y172" s="529" cm="1">
        <f t="array" aca="1" ref="Y172" ca="1">IF(Y$12=1,0,OFFSET(Y172,0,-1))+SUM((OFFSET($C$13,1,0):OFFSET($C$164,-3,0))*IF(ISNUMBER(OFFSET(Y$11,5,0):OFFSET(Y$164,-1,0)),OFFSET(Y$11,5,0):OFFSET(Y$164,-1,0),0))</f>
        <v>34626.109999999986</v>
      </c>
      <c r="Z172" s="529" cm="1">
        <f t="array" aca="1" ref="Z172" ca="1">IF(Z$12=1,0,OFFSET(Z172,0,-1))+SUM((OFFSET($C$13,1,0):OFFSET($C$164,-3,0))*IF(ISNUMBER(OFFSET(Z$11,5,0):OFFSET(Z$164,-1,0)),OFFSET(Z$11,5,0):OFFSET(Z$164,-1,0),0))</f>
        <v>34626.109999999986</v>
      </c>
      <c r="AA172" s="529" cm="1">
        <f t="array" aca="1" ref="AA172" ca="1">IF(AA$12=1,0,OFFSET(AA172,0,-1))+SUM((OFFSET($C$13,1,0):OFFSET($C$164,-3,0))*IF(ISNUMBER(OFFSET(AA$11,5,0):OFFSET(AA$164,-1,0)),OFFSET(AA$11,5,0):OFFSET(AA$164,-1,0),0))</f>
        <v>34626.109999999986</v>
      </c>
      <c r="AB172" s="529" cm="1">
        <f t="array" aca="1" ref="AB172" ca="1">IF(AB$12=1,0,OFFSET(AB172,0,-1))+SUM((OFFSET($C$13,1,0):OFFSET($C$164,-3,0))*IF(ISNUMBER(OFFSET(AB$11,5,0):OFFSET(AB$164,-1,0)),OFFSET(AB$11,5,0):OFFSET(AB$164,-1,0),0))</f>
        <v>34626.109999999986</v>
      </c>
      <c r="AC172" s="529" cm="1">
        <f t="array" aca="1" ref="AC172" ca="1">IF(AC$12=1,0,OFFSET(AC172,0,-1))+SUM((OFFSET($C$13,1,0):OFFSET($C$164,-3,0))*IF(ISNUMBER(OFFSET(AC$11,5,0):OFFSET(AC$164,-1,0)),OFFSET(AC$11,5,0):OFFSET(AC$164,-1,0),0))</f>
        <v>34626.109999999986</v>
      </c>
      <c r="AD172" s="529" cm="1">
        <f t="array" aca="1" ref="AD172" ca="1">IF(AD$12=1,0,OFFSET(AD172,0,-1))+SUM((OFFSET($C$13,1,0):OFFSET($C$164,-3,0))*IF(ISNUMBER(OFFSET(AD$11,5,0):OFFSET(AD$164,-1,0)),OFFSET(AD$11,5,0):OFFSET(AD$164,-1,0),0))</f>
        <v>34626.109999999986</v>
      </c>
      <c r="AE172" s="529" cm="1">
        <f t="array" aca="1" ref="AE172" ca="1">IF(AE$12=1,0,OFFSET(AE172,0,-1))+SUM((OFFSET($C$13,1,0):OFFSET($C$164,-3,0))*IF(ISNUMBER(OFFSET(AE$11,5,0):OFFSET(AE$164,-1,0)),OFFSET(AE$11,5,0):OFFSET(AE$164,-1,0),0))</f>
        <v>34626.109999999986</v>
      </c>
      <c r="AF172" s="529" cm="1">
        <f t="array" aca="1" ref="AF172" ca="1">IF(AF$12=1,0,OFFSET(AF172,0,-1))+SUM((OFFSET($C$13,1,0):OFFSET($C$164,-3,0))*IF(ISNUMBER(OFFSET(AF$11,5,0):OFFSET(AF$164,-1,0)),OFFSET(AF$11,5,0):OFFSET(AF$164,-1,0),0))</f>
        <v>34626.109999999986</v>
      </c>
      <c r="AG172" s="534"/>
    </row>
    <row r="173" spans="1:33" x14ac:dyDescent="0.2">
      <c r="E173" s="239" cm="1">
        <f t="array" aca="1" ref="E173" ca="1">IF(E$12=1,0,OFFSET(E173,0,-1))+SUM((OFFSET($D$13,1,0):OFFSET($D$164,-3,0))*IF(ISNUMBER(OFFSET(E$11,5,0):OFFSET(E$164,-1,0)),OFFSET(E$11,5,0):OFFSET(E$164,-1,0),0))</f>
        <v>0</v>
      </c>
      <c r="G173" s="185" t="s">
        <v>536</v>
      </c>
      <c r="L173" s="236"/>
      <c r="S173" s="240"/>
      <c r="T173" s="241" t="s">
        <v>801</v>
      </c>
      <c r="U173" s="239" cm="1">
        <f t="array" aca="1" ref="U173" ca="1">IF(U$12=1,0,OFFSET(U173,0,-1))+SUM((OFFSET($D$13,1,0):OFFSET($D$164,-3,0))*IF(ISNUMBER(OFFSET(U$11,5,0):OFFSET(U$164,-1,0)),OFFSET(U$11,5,0):OFFSET(U$164,-1,0),0))</f>
        <v>0</v>
      </c>
      <c r="V173" s="239" cm="1">
        <f t="array" aca="1" ref="V173" ca="1">IF(V$12=1,0,OFFSET(V173,0,-1))+SUM((OFFSET($D$13,1,0):OFFSET($D$164,-3,0))*IF(ISNUMBER(OFFSET(V$11,5,0):OFFSET(V$164,-1,0)),OFFSET(V$11,5,0):OFFSET(V$164,-1,0),0))</f>
        <v>0</v>
      </c>
      <c r="W173" s="239" cm="1">
        <f t="array" aca="1" ref="W173" ca="1">IF(W$12=1,0,OFFSET(W173,0,-1))+SUM((OFFSET($D$13,1,0):OFFSET($D$164,-3,0))*IF(ISNUMBER(OFFSET(W$11,5,0):OFFSET(W$164,-1,0)),OFFSET(W$11,5,0):OFFSET(W$164,-1,0),0))</f>
        <v>0</v>
      </c>
      <c r="X173" s="239" cm="1">
        <f t="array" aca="1" ref="X173" ca="1">IF(X$12=1,0,OFFSET(X173,0,-1))+SUM((OFFSET($D$13,1,0):OFFSET($D$164,-3,0))*IF(ISNUMBER(OFFSET(X$11,5,0):OFFSET(X$164,-1,0)),OFFSET(X$11,5,0):OFFSET(X$164,-1,0),0))</f>
        <v>0</v>
      </c>
      <c r="Y173" s="239" cm="1">
        <f t="array" aca="1" ref="Y173" ca="1">IF(Y$12=1,0,OFFSET(Y173,0,-1))+SUM((OFFSET($D$13,1,0):OFFSET($D$164,-3,0))*IF(ISNUMBER(OFFSET(Y$11,5,0):OFFSET(Y$164,-1,0)),OFFSET(Y$11,5,0):OFFSET(Y$164,-1,0),0))</f>
        <v>0</v>
      </c>
      <c r="Z173" s="239" cm="1">
        <f t="array" aca="1" ref="Z173" ca="1">IF(Z$12=1,0,OFFSET(Z173,0,-1))+SUM((OFFSET($D$13,1,0):OFFSET($D$164,-3,0))*IF(ISNUMBER(OFFSET(Z$11,5,0):OFFSET(Z$164,-1,0)),OFFSET(Z$11,5,0):OFFSET(Z$164,-1,0),0))</f>
        <v>0</v>
      </c>
      <c r="AA173" s="239" cm="1">
        <f t="array" aca="1" ref="AA173" ca="1">IF(AA$12=1,0,OFFSET(AA173,0,-1))+SUM((OFFSET($D$13,1,0):OFFSET($D$164,-3,0))*IF(ISNUMBER(OFFSET(AA$11,5,0):OFFSET(AA$164,-1,0)),OFFSET(AA$11,5,0):OFFSET(AA$164,-1,0),0))</f>
        <v>0</v>
      </c>
      <c r="AB173" s="239" cm="1">
        <f t="array" aca="1" ref="AB173" ca="1">IF(AB$12=1,0,OFFSET(AB173,0,-1))+SUM((OFFSET($D$13,1,0):OFFSET($D$164,-3,0))*IF(ISNUMBER(OFFSET(AB$11,5,0):OFFSET(AB$164,-1,0)),OFFSET(AB$11,5,0):OFFSET(AB$164,-1,0),0))</f>
        <v>0</v>
      </c>
      <c r="AC173" s="239" cm="1">
        <f t="array" aca="1" ref="AC173" ca="1">IF(AC$12=1,0,OFFSET(AC173,0,-1))+SUM((OFFSET($D$13,1,0):OFFSET($D$164,-3,0))*IF(ISNUMBER(OFFSET(AC$11,5,0):OFFSET(AC$164,-1,0)),OFFSET(AC$11,5,0):OFFSET(AC$164,-1,0),0))</f>
        <v>0</v>
      </c>
      <c r="AD173" s="239" cm="1">
        <f t="array" aca="1" ref="AD173" ca="1">IF(AD$12=1,0,OFFSET(AD173,0,-1))+SUM((OFFSET($D$13,1,0):OFFSET($D$164,-3,0))*IF(ISNUMBER(OFFSET(AD$11,5,0):OFFSET(AD$164,-1,0)),OFFSET(AD$11,5,0):OFFSET(AD$164,-1,0),0))</f>
        <v>0</v>
      </c>
      <c r="AE173" s="239" cm="1">
        <f t="array" aca="1" ref="AE173" ca="1">IF(AE$12=1,0,OFFSET(AE173,0,-1))+SUM((OFFSET($D$13,1,0):OFFSET($D$164,-3,0))*IF(ISNUMBER(OFFSET(AE$11,5,0):OFFSET(AE$164,-1,0)),OFFSET(AE$11,5,0):OFFSET(AE$164,-1,0),0))</f>
        <v>0</v>
      </c>
      <c r="AF173" s="239" cm="1">
        <f t="array" aca="1" ref="AF173" ca="1">IF(AF$12=1,0,OFFSET(AF173,0,-1))+SUM((OFFSET($D$13,1,0):OFFSET($D$164,-3,0))*IF(ISNUMBER(OFFSET(AF$11,5,0):OFFSET(AF$164,-1,0)),OFFSET(AF$11,5,0):OFFSET(AF$164,-1,0),0))</f>
        <v>0</v>
      </c>
      <c r="AG173" s="534"/>
    </row>
    <row r="174" spans="1:33" ht="13.5" thickBot="1" x14ac:dyDescent="0.25">
      <c r="D174" s="533"/>
      <c r="E174" s="531">
        <f ca="1">SUMIF($S$12:$S$164,"1$",E12:E164)+IF(E$12&gt;1,OFFSET(E174,0,-1),0)</f>
        <v>264367.69</v>
      </c>
      <c r="G174" s="185" t="s">
        <v>536</v>
      </c>
      <c r="H174" s="522" t="str" cm="1">
        <f t="array" ref="H174">IF(ACOMPANHAMENTO="BM","Selecione o Macrosserviço da Administração Local:","")</f>
        <v/>
      </c>
      <c r="I174"/>
      <c r="L174" s="236"/>
      <c r="S174" s="237"/>
      <c r="T174" s="526" t="s">
        <v>802</v>
      </c>
      <c r="U174" s="531">
        <f t="shared" ref="U174:AF174" ca="1" si="317">SUMIF($S$12:$S$164,"1$",U12:U164)+IF(U$12&gt;1,OFFSET(U174,0,-1),0)</f>
        <v>264367.69</v>
      </c>
      <c r="V174" s="531">
        <f t="shared" ca="1" si="317"/>
        <v>424489.11</v>
      </c>
      <c r="W174" s="531">
        <f t="shared" ca="1" si="317"/>
        <v>424489.11</v>
      </c>
      <c r="X174" s="531">
        <f t="shared" ca="1" si="317"/>
        <v>424489.11</v>
      </c>
      <c r="Y174" s="531">
        <f t="shared" ca="1" si="317"/>
        <v>424489.11</v>
      </c>
      <c r="Z174" s="531">
        <f t="shared" ca="1" si="317"/>
        <v>424489.11</v>
      </c>
      <c r="AA174" s="531">
        <f t="shared" ca="1" si="317"/>
        <v>424489.11</v>
      </c>
      <c r="AB174" s="531">
        <f t="shared" ca="1" si="317"/>
        <v>424489.11</v>
      </c>
      <c r="AC174" s="531">
        <f t="shared" ca="1" si="317"/>
        <v>424489.11</v>
      </c>
      <c r="AD174" s="531">
        <f t="shared" ca="1" si="317"/>
        <v>424489.11</v>
      </c>
      <c r="AE174" s="531">
        <f t="shared" ca="1" si="317"/>
        <v>424489.11</v>
      </c>
      <c r="AF174" s="540">
        <f t="shared" ca="1" si="317"/>
        <v>424489.11</v>
      </c>
      <c r="AG174" s="534"/>
    </row>
    <row r="175" spans="1:33" ht="13.5" thickBot="1" x14ac:dyDescent="0.25">
      <c r="D175" s="533"/>
      <c r="E175" s="532" t="str">
        <f ca="1">IF($F$175="","",
  IF(ACOMPANHAMENTO="PLE",
     IF(AUTOEVENTO="Manual",
         IF(AdmLocal="Automática",
              E170,
              SUMIF(OFFSET(CRONOPLE!$F$14,CRONOPLE!$A$8+1,1,1,OFFSET(CRONOPLE!$AF$12,0,-1)),"&lt;="&amp;E$12,OFFSET(EVENTOS!$G$14,CRONOPLE!$A$8+1,1,1,OFFSET(CRONOPLE!$AF$12,0,-1)))/OFFSET(EVENTOS!$G$14,CRONOPLE!$A$8+1,-1)),
         SUMIFS(OFFSET(CÁLCULO!$AA$15,$F$175,1,OFFSET(ORÇAMENTO!$D$15,$F$175,0),CÁLCULO.FrentesPreenchidas),OFFSET(CÁLCULO!$AL$15,$F$175,1,OFFSET(ORÇAMENTO!$D$15,$F$175,0),CÁLCULO.FrentesPreenchidas),"&lt;="&amp;E$12)/OFFSET(ORÇAMENTO!$X$15,$F$175,0)),
     IF(ACOMPANHAMENTO="BM",SUM(OFFSET($T$13,$F$175+2,1,1,E$12))/OFFSET($S$13,$F$175,0),"")))</f>
        <v/>
      </c>
      <c r="F175" s="185" t="str">
        <f ca="1">IF(ACOMPANHAMENTO="PLE",
    IF(AUTOEVENTO="Manual",
        IF(AdmLocal="Automática",1,IF(CRONOPLE!$D$8&lt;&gt;"","",MATCH(Import.EventoAdmLocal,EVENTOS!$B$15:$B$65,0))),
        IF(CRONOPLE!$D$8&lt;&gt;"","",CRONOPLE!$A$10)),
    IF($H$176&lt;&gt;"","",MATCH(Import.MacrosserviçoAdmLocal,$A$13:$A$164,0)-1))</f>
        <v/>
      </c>
      <c r="G175" s="185" t="s">
        <v>536</v>
      </c>
      <c r="H175" s="729"/>
      <c r="I175" s="771"/>
      <c r="J175" s="730"/>
      <c r="L175" s="242"/>
      <c r="S175" s="525"/>
      <c r="T175" s="527" t="s">
        <v>804</v>
      </c>
      <c r="U175" s="532" t="str">
        <f ca="1">IF($F$175="","",
  IF(ACOMPANHAMENTO="PLE",
     IF(AUTOEVENTO="Manual",
         IF(AdmLocal="Automática",
              U170,
              SUMIF(OFFSET(CRONOPLE!$F$14,CRONOPLE!$A$8+1,1,1,OFFSET(CRONOPLE!$AF$12,0,-1)),"&lt;="&amp;U$12,OFFSET(EVENTOS!$G$14,CRONOPLE!$A$8+1,1,1,OFFSET(CRONOPLE!$AF$12,0,-1)))/OFFSET(EVENTOS!$G$14,CRONOPLE!$A$8+1,-1)),
         SUMIFS(OFFSET(CÁLCULO!$AA$15,$F$175,1,OFFSET(ORÇAMENTO!$D$15,$F$175,0),CÁLCULO.FrentesPreenchidas),OFFSET(CÁLCULO!$AL$15,$F$175,1,OFFSET(ORÇAMENTO!$D$15,$F$175,0),CÁLCULO.FrentesPreenchidas),"&lt;="&amp;U$12)/OFFSET(ORÇAMENTO!$X$15,$F$175,0)),
     IF(ACOMPANHAMENTO="BM",SUM(OFFSET($T$13,$F$175+2,1,1,U$12))/OFFSET($S$13,$F$175,0),"")))</f>
        <v/>
      </c>
      <c r="V175" s="532" t="str">
        <f ca="1">IF($F$175="","",
  IF(ACOMPANHAMENTO="PLE",
     IF(AUTOEVENTO="Manual",
         IF(AdmLocal="Automática",
              V170,
              SUMIF(OFFSET(CRONOPLE!$F$14,CRONOPLE!$A$8+1,1,1,OFFSET(CRONOPLE!$AF$12,0,-1)),"&lt;="&amp;V$12,OFFSET(EVENTOS!$G$14,CRONOPLE!$A$8+1,1,1,OFFSET(CRONOPLE!$AF$12,0,-1)))/OFFSET(EVENTOS!$G$14,CRONOPLE!$A$8+1,-1)),
         SUMIFS(OFFSET(CÁLCULO!$AA$15,$F$175,1,OFFSET(ORÇAMENTO!$D$15,$F$175,0),CÁLCULO.FrentesPreenchidas),OFFSET(CÁLCULO!$AL$15,$F$175,1,OFFSET(ORÇAMENTO!$D$15,$F$175,0),CÁLCULO.FrentesPreenchidas),"&lt;="&amp;V$12)/OFFSET(ORÇAMENTO!$X$15,$F$175,0)),
     IF(ACOMPANHAMENTO="BM",SUM(OFFSET($T$13,$F$175+2,1,1,V$12))/OFFSET($S$13,$F$175,0),"")))</f>
        <v/>
      </c>
      <c r="W175" s="532" t="str">
        <f ca="1">IF($F$175="","",
  IF(ACOMPANHAMENTO="PLE",
     IF(AUTOEVENTO="Manual",
         IF(AdmLocal="Automática",
              W170,
              SUMIF(OFFSET(CRONOPLE!$F$14,CRONOPLE!$A$8+1,1,1,OFFSET(CRONOPLE!$AF$12,0,-1)),"&lt;="&amp;W$12,OFFSET(EVENTOS!$G$14,CRONOPLE!$A$8+1,1,1,OFFSET(CRONOPLE!$AF$12,0,-1)))/OFFSET(EVENTOS!$G$14,CRONOPLE!$A$8+1,-1)),
         SUMIFS(OFFSET(CÁLCULO!$AA$15,$F$175,1,OFFSET(ORÇAMENTO!$D$15,$F$175,0),CÁLCULO.FrentesPreenchidas),OFFSET(CÁLCULO!$AL$15,$F$175,1,OFFSET(ORÇAMENTO!$D$15,$F$175,0),CÁLCULO.FrentesPreenchidas),"&lt;="&amp;W$12)/OFFSET(ORÇAMENTO!$X$15,$F$175,0)),
     IF(ACOMPANHAMENTO="BM",SUM(OFFSET($T$13,$F$175+2,1,1,W$12))/OFFSET($S$13,$F$175,0),"")))</f>
        <v/>
      </c>
      <c r="X175" s="532" t="str">
        <f ca="1">IF($F$175="","",
  IF(ACOMPANHAMENTO="PLE",
     IF(AUTOEVENTO="Manual",
         IF(AdmLocal="Automática",
              X170,
              SUMIF(OFFSET(CRONOPLE!$F$14,CRONOPLE!$A$8+1,1,1,OFFSET(CRONOPLE!$AF$12,0,-1)),"&lt;="&amp;X$12,OFFSET(EVENTOS!$G$14,CRONOPLE!$A$8+1,1,1,OFFSET(CRONOPLE!$AF$12,0,-1)))/OFFSET(EVENTOS!$G$14,CRONOPLE!$A$8+1,-1)),
         SUMIFS(OFFSET(CÁLCULO!$AA$15,$F$175,1,OFFSET(ORÇAMENTO!$D$15,$F$175,0),CÁLCULO.FrentesPreenchidas),OFFSET(CÁLCULO!$AL$15,$F$175,1,OFFSET(ORÇAMENTO!$D$15,$F$175,0),CÁLCULO.FrentesPreenchidas),"&lt;="&amp;X$12)/OFFSET(ORÇAMENTO!$X$15,$F$175,0)),
     IF(ACOMPANHAMENTO="BM",SUM(OFFSET($T$13,$F$175+2,1,1,X$12))/OFFSET($S$13,$F$175,0),"")))</f>
        <v/>
      </c>
      <c r="Y175" s="532" t="str">
        <f ca="1">IF($F$175="","",
  IF(ACOMPANHAMENTO="PLE",
     IF(AUTOEVENTO="Manual",
         IF(AdmLocal="Automática",
              Y170,
              SUMIF(OFFSET(CRONOPLE!$F$14,CRONOPLE!$A$8+1,1,1,OFFSET(CRONOPLE!$AF$12,0,-1)),"&lt;="&amp;Y$12,OFFSET(EVENTOS!$G$14,CRONOPLE!$A$8+1,1,1,OFFSET(CRONOPLE!$AF$12,0,-1)))/OFFSET(EVENTOS!$G$14,CRONOPLE!$A$8+1,-1)),
         SUMIFS(OFFSET(CÁLCULO!$AA$15,$F$175,1,OFFSET(ORÇAMENTO!$D$15,$F$175,0),CÁLCULO.FrentesPreenchidas),OFFSET(CÁLCULO!$AL$15,$F$175,1,OFFSET(ORÇAMENTO!$D$15,$F$175,0),CÁLCULO.FrentesPreenchidas),"&lt;="&amp;Y$12)/OFFSET(ORÇAMENTO!$X$15,$F$175,0)),
     IF(ACOMPANHAMENTO="BM",SUM(OFFSET($T$13,$F$175+2,1,1,Y$12))/OFFSET($S$13,$F$175,0),"")))</f>
        <v/>
      </c>
      <c r="Z175" s="532" t="str">
        <f ca="1">IF($F$175="","",
  IF(ACOMPANHAMENTO="PLE",
     IF(AUTOEVENTO="Manual",
         IF(AdmLocal="Automática",
              Z170,
              SUMIF(OFFSET(CRONOPLE!$F$14,CRONOPLE!$A$8+1,1,1,OFFSET(CRONOPLE!$AF$12,0,-1)),"&lt;="&amp;Z$12,OFFSET(EVENTOS!$G$14,CRONOPLE!$A$8+1,1,1,OFFSET(CRONOPLE!$AF$12,0,-1)))/OFFSET(EVENTOS!$G$14,CRONOPLE!$A$8+1,-1)),
         SUMIFS(OFFSET(CÁLCULO!$AA$15,$F$175,1,OFFSET(ORÇAMENTO!$D$15,$F$175,0),CÁLCULO.FrentesPreenchidas),OFFSET(CÁLCULO!$AL$15,$F$175,1,OFFSET(ORÇAMENTO!$D$15,$F$175,0),CÁLCULO.FrentesPreenchidas),"&lt;="&amp;Z$12)/OFFSET(ORÇAMENTO!$X$15,$F$175,0)),
     IF(ACOMPANHAMENTO="BM",SUM(OFFSET($T$13,$F$175+2,1,1,Z$12))/OFFSET($S$13,$F$175,0),"")))</f>
        <v/>
      </c>
      <c r="AA175" s="532" t="str">
        <f ca="1">IF($F$175="","",
  IF(ACOMPANHAMENTO="PLE",
     IF(AUTOEVENTO="Manual",
         IF(AdmLocal="Automática",
              AA170,
              SUMIF(OFFSET(CRONOPLE!$F$14,CRONOPLE!$A$8+1,1,1,OFFSET(CRONOPLE!$AF$12,0,-1)),"&lt;="&amp;AA$12,OFFSET(EVENTOS!$G$14,CRONOPLE!$A$8+1,1,1,OFFSET(CRONOPLE!$AF$12,0,-1)))/OFFSET(EVENTOS!$G$14,CRONOPLE!$A$8+1,-1)),
         SUMIFS(OFFSET(CÁLCULO!$AA$15,$F$175,1,OFFSET(ORÇAMENTO!$D$15,$F$175,0),CÁLCULO.FrentesPreenchidas),OFFSET(CÁLCULO!$AL$15,$F$175,1,OFFSET(ORÇAMENTO!$D$15,$F$175,0),CÁLCULO.FrentesPreenchidas),"&lt;="&amp;AA$12)/OFFSET(ORÇAMENTO!$X$15,$F$175,0)),
     IF(ACOMPANHAMENTO="BM",SUM(OFFSET($T$13,$F$175+2,1,1,AA$12))/OFFSET($S$13,$F$175,0),"")))</f>
        <v/>
      </c>
      <c r="AB175" s="532" t="str">
        <f ca="1">IF($F$175="","",
  IF(ACOMPANHAMENTO="PLE",
     IF(AUTOEVENTO="Manual",
         IF(AdmLocal="Automática",
              AB170,
              SUMIF(OFFSET(CRONOPLE!$F$14,CRONOPLE!$A$8+1,1,1,OFFSET(CRONOPLE!$AF$12,0,-1)),"&lt;="&amp;AB$12,OFFSET(EVENTOS!$G$14,CRONOPLE!$A$8+1,1,1,OFFSET(CRONOPLE!$AF$12,0,-1)))/OFFSET(EVENTOS!$G$14,CRONOPLE!$A$8+1,-1)),
         SUMIFS(OFFSET(CÁLCULO!$AA$15,$F$175,1,OFFSET(ORÇAMENTO!$D$15,$F$175,0),CÁLCULO.FrentesPreenchidas),OFFSET(CÁLCULO!$AL$15,$F$175,1,OFFSET(ORÇAMENTO!$D$15,$F$175,0),CÁLCULO.FrentesPreenchidas),"&lt;="&amp;AB$12)/OFFSET(ORÇAMENTO!$X$15,$F$175,0)),
     IF(ACOMPANHAMENTO="BM",SUM(OFFSET($T$13,$F$175+2,1,1,AB$12))/OFFSET($S$13,$F$175,0),"")))</f>
        <v/>
      </c>
      <c r="AC175" s="532" t="str">
        <f ca="1">IF($F$175="","",
  IF(ACOMPANHAMENTO="PLE",
     IF(AUTOEVENTO="Manual",
         IF(AdmLocal="Automática",
              AC170,
              SUMIF(OFFSET(CRONOPLE!$F$14,CRONOPLE!$A$8+1,1,1,OFFSET(CRONOPLE!$AF$12,0,-1)),"&lt;="&amp;AC$12,OFFSET(EVENTOS!$G$14,CRONOPLE!$A$8+1,1,1,OFFSET(CRONOPLE!$AF$12,0,-1)))/OFFSET(EVENTOS!$G$14,CRONOPLE!$A$8+1,-1)),
         SUMIFS(OFFSET(CÁLCULO!$AA$15,$F$175,1,OFFSET(ORÇAMENTO!$D$15,$F$175,0),CÁLCULO.FrentesPreenchidas),OFFSET(CÁLCULO!$AL$15,$F$175,1,OFFSET(ORÇAMENTO!$D$15,$F$175,0),CÁLCULO.FrentesPreenchidas),"&lt;="&amp;AC$12)/OFFSET(ORÇAMENTO!$X$15,$F$175,0)),
     IF(ACOMPANHAMENTO="BM",SUM(OFFSET($T$13,$F$175+2,1,1,AC$12))/OFFSET($S$13,$F$175,0),"")))</f>
        <v/>
      </c>
      <c r="AD175" s="532" t="str">
        <f ca="1">IF($F$175="","",
  IF(ACOMPANHAMENTO="PLE",
     IF(AUTOEVENTO="Manual",
         IF(AdmLocal="Automática",
              AD170,
              SUMIF(OFFSET(CRONOPLE!$F$14,CRONOPLE!$A$8+1,1,1,OFFSET(CRONOPLE!$AF$12,0,-1)),"&lt;="&amp;AD$12,OFFSET(EVENTOS!$G$14,CRONOPLE!$A$8+1,1,1,OFFSET(CRONOPLE!$AF$12,0,-1)))/OFFSET(EVENTOS!$G$14,CRONOPLE!$A$8+1,-1)),
         SUMIFS(OFFSET(CÁLCULO!$AA$15,$F$175,1,OFFSET(ORÇAMENTO!$D$15,$F$175,0),CÁLCULO.FrentesPreenchidas),OFFSET(CÁLCULO!$AL$15,$F$175,1,OFFSET(ORÇAMENTO!$D$15,$F$175,0),CÁLCULO.FrentesPreenchidas),"&lt;="&amp;AD$12)/OFFSET(ORÇAMENTO!$X$15,$F$175,0)),
     IF(ACOMPANHAMENTO="BM",SUM(OFFSET($T$13,$F$175+2,1,1,AD$12))/OFFSET($S$13,$F$175,0),"")))</f>
        <v/>
      </c>
      <c r="AE175" s="532" t="str">
        <f ca="1">IF($F$175="","",
  IF(ACOMPANHAMENTO="PLE",
     IF(AUTOEVENTO="Manual",
         IF(AdmLocal="Automática",
              AE170,
              SUMIF(OFFSET(CRONOPLE!$F$14,CRONOPLE!$A$8+1,1,1,OFFSET(CRONOPLE!$AF$12,0,-1)),"&lt;="&amp;AE$12,OFFSET(EVENTOS!$G$14,CRONOPLE!$A$8+1,1,1,OFFSET(CRONOPLE!$AF$12,0,-1)))/OFFSET(EVENTOS!$G$14,CRONOPLE!$A$8+1,-1)),
         SUMIFS(OFFSET(CÁLCULO!$AA$15,$F$175,1,OFFSET(ORÇAMENTO!$D$15,$F$175,0),CÁLCULO.FrentesPreenchidas),OFFSET(CÁLCULO!$AL$15,$F$175,1,OFFSET(ORÇAMENTO!$D$15,$F$175,0),CÁLCULO.FrentesPreenchidas),"&lt;="&amp;AE$12)/OFFSET(ORÇAMENTO!$X$15,$F$175,0)),
     IF(ACOMPANHAMENTO="BM",SUM(OFFSET($T$13,$F$175+2,1,1,AE$12))/OFFSET($S$13,$F$175,0),"")))</f>
        <v/>
      </c>
      <c r="AF175" s="532" t="str">
        <f ca="1">IF($F$175="","",
  IF(ACOMPANHAMENTO="PLE",
     IF(AUTOEVENTO="Manual",
         IF(AdmLocal="Automática",
              AF170,
              SUMIF(OFFSET(CRONOPLE!$F$14,CRONOPLE!$A$8+1,1,1,OFFSET(CRONOPLE!$AF$12,0,-1)),"&lt;="&amp;AF$12,OFFSET(EVENTOS!$G$14,CRONOPLE!$A$8+1,1,1,OFFSET(CRONOPLE!$AF$12,0,-1)))/OFFSET(EVENTOS!$G$14,CRONOPLE!$A$8+1,-1)),
         SUMIFS(OFFSET(CÁLCULO!$AA$15,$F$175,1,OFFSET(ORÇAMENTO!$D$15,$F$175,0),CÁLCULO.FrentesPreenchidas),OFFSET(CÁLCULO!$AL$15,$F$175,1,OFFSET(ORÇAMENTO!$D$15,$F$175,0),CÁLCULO.FrentesPreenchidas),"&lt;="&amp;AF$12)/OFFSET(ORÇAMENTO!$X$15,$F$175,0)),
     IF(ACOMPANHAMENTO="BM",SUM(OFFSET($T$13,$F$175+2,1,1,AF$12))/OFFSET($S$13,$F$175,0),"")))</f>
        <v/>
      </c>
      <c r="AG175" s="534"/>
    </row>
    <row r="176" spans="1:33" ht="17.100000000000001" customHeight="1" x14ac:dyDescent="0.25">
      <c r="G176" s="185" t="s">
        <v>536</v>
      </c>
      <c r="H176" s="571" t="str" cm="1">
        <f t="array" ref="H176">IF(AND(ACOMPANHAMENTO="BM",$H$175=""),"↑ Não foi indicado o Macrosserviço de Administração Local","")</f>
        <v/>
      </c>
      <c r="T176" s="583" t="str">
        <f ca="1">IF(COUNTIF(U176:AG176,"%Adm&gt;%Global")&gt;0,"Verificar proporcionalidade da Administração Local","")</f>
        <v/>
      </c>
      <c r="U176" s="535" t="str">
        <f ca="1">IF(U175="","",IF(ROUND(U175,4)&gt;ROUND(U170,4),"%Adm&gt;%Global",""))</f>
        <v/>
      </c>
      <c r="V176" s="535" t="str">
        <f t="shared" ref="V176:AG176" ca="1" si="318">IF(V175="","",IF(ROUND(V175,4)&gt;ROUND(V170,4),"%Adm&gt;%Global",""))</f>
        <v/>
      </c>
      <c r="W176" s="535" t="str">
        <f t="shared" ca="1" si="318"/>
        <v/>
      </c>
      <c r="X176" s="535" t="str">
        <f t="shared" ca="1" si="318"/>
        <v/>
      </c>
      <c r="Y176" s="535" t="str">
        <f t="shared" ca="1" si="318"/>
        <v/>
      </c>
      <c r="Z176" s="535" t="str">
        <f t="shared" ca="1" si="318"/>
        <v/>
      </c>
      <c r="AA176" s="535" t="str">
        <f t="shared" ca="1" si="318"/>
        <v/>
      </c>
      <c r="AB176" s="535" t="str">
        <f t="shared" ca="1" si="318"/>
        <v/>
      </c>
      <c r="AC176" s="535" t="str">
        <f t="shared" ca="1" si="318"/>
        <v/>
      </c>
      <c r="AD176" s="535" t="str">
        <f t="shared" ca="1" si="318"/>
        <v/>
      </c>
      <c r="AE176" s="535" t="str">
        <f t="shared" ca="1" si="318"/>
        <v/>
      </c>
      <c r="AF176" s="535" t="str">
        <f t="shared" ca="1" si="318"/>
        <v/>
      </c>
      <c r="AG176" s="535" t="str">
        <f t="shared" si="318"/>
        <v/>
      </c>
    </row>
    <row r="177" spans="7:32" ht="32.25" customHeight="1" x14ac:dyDescent="0.2">
      <c r="G177" s="185" t="s">
        <v>536</v>
      </c>
      <c r="I177" s="717" t="str">
        <f>Import.Município</f>
        <v>Ivorá/RS</v>
      </c>
      <c r="J177" s="717"/>
      <c r="K177" s="717"/>
      <c r="L177" s="717"/>
      <c r="M177" s="717"/>
      <c r="N177" s="717"/>
      <c r="O177" s="717"/>
      <c r="P177" s="717"/>
      <c r="Q177" s="717"/>
      <c r="R177" s="717"/>
      <c r="S177" s="717"/>
      <c r="AA177" s="460"/>
      <c r="AB177" s="460"/>
      <c r="AC177" s="460"/>
      <c r="AD177" s="460"/>
      <c r="AE177" s="462"/>
      <c r="AF177" s="462"/>
    </row>
    <row r="178" spans="7:32" x14ac:dyDescent="0.2">
      <c r="G178" s="185" t="s">
        <v>536</v>
      </c>
      <c r="I178" s="9" t="s">
        <v>693</v>
      </c>
      <c r="J178"/>
      <c r="K178"/>
      <c r="L178"/>
      <c r="AA178" s="181" t="s">
        <v>696</v>
      </c>
      <c r="AB178" s="181"/>
      <c r="AC178" s="181"/>
      <c r="AD178" s="181"/>
      <c r="AE178" s="185"/>
      <c r="AF178" s="185"/>
    </row>
    <row r="179" spans="7:32" x14ac:dyDescent="0.2">
      <c r="G179" s="185" t="s">
        <v>536</v>
      </c>
      <c r="I179"/>
      <c r="J179"/>
      <c r="K179"/>
      <c r="L179"/>
      <c r="AA179" s="398" t="str">
        <f t="array" aca="1" ref="AA179:AA181" ca="1">OFFSET(Import.RespOrçamento,0,-1) &amp; " " &amp; Import.RespOrçamento</f>
        <v>Nome: Vitor Camargo Costa</v>
      </c>
      <c r="AC179"/>
      <c r="AD179" s="79"/>
      <c r="AE179" s="185"/>
      <c r="AF179" s="185"/>
    </row>
    <row r="180" spans="7:32" x14ac:dyDescent="0.2">
      <c r="G180" s="185" t="s">
        <v>536</v>
      </c>
      <c r="I180" s="770">
        <f>DADOS!$C$25</f>
        <v>46169</v>
      </c>
      <c r="J180" s="770"/>
      <c r="K180" s="770"/>
      <c r="L180" s="180"/>
      <c r="M180" s="245"/>
      <c r="N180" s="245"/>
      <c r="O180" s="245"/>
      <c r="P180" s="245"/>
      <c r="Q180" s="245"/>
      <c r="R180" s="245"/>
      <c r="S180" s="246"/>
      <c r="AA180" s="398" t="str">
        <f ca="1"/>
        <v>CREA/CAU: RS 203284</v>
      </c>
      <c r="AC180" s="79"/>
      <c r="AD180" s="79"/>
      <c r="AE180" s="185"/>
      <c r="AF180" s="185"/>
    </row>
    <row r="181" spans="7:32" x14ac:dyDescent="0.2">
      <c r="G181" s="185" t="s">
        <v>536</v>
      </c>
      <c r="I181" s="9" t="s">
        <v>694</v>
      </c>
      <c r="J181"/>
      <c r="K181"/>
      <c r="L181"/>
      <c r="AA181" s="398" t="str">
        <f ca="1"/>
        <v>ART/RRT: 14443886</v>
      </c>
      <c r="AC181" s="79"/>
      <c r="AD181" s="79"/>
      <c r="AE181" s="185"/>
      <c r="AF181" s="185"/>
    </row>
  </sheetData>
  <sheetProtection algorithmName="SHA-512" hashValue="qqFJA/JCPfl5V814jbBRvuDBlt5REwM3XgLwkZ1aIuezWKcDtp3FTA+EvNgnEJkkJFpA9epPQ0NXYodEevzXhA==" saltValue="Vpg8mO5aN88p0m+bTtTFyA==" spinCount="100000" sheet="1" objects="1" scenarios="1" autoFilter="0"/>
  <autoFilter ref="G13:G181" xr:uid="{00000000-0009-0000-0000-000007000000}"/>
  <mergeCells count="18">
    <mergeCell ref="T12:T13"/>
    <mergeCell ref="L8:T8"/>
    <mergeCell ref="U8:Y8"/>
    <mergeCell ref="K10:T11"/>
    <mergeCell ref="I165:K166"/>
    <mergeCell ref="H12:H13"/>
    <mergeCell ref="I12:I13"/>
    <mergeCell ref="J12:J13"/>
    <mergeCell ref="I180:K180"/>
    <mergeCell ref="I177:S177"/>
    <mergeCell ref="H175:J175"/>
    <mergeCell ref="S12:S13"/>
    <mergeCell ref="G8:G11"/>
    <mergeCell ref="I8:J8"/>
    <mergeCell ref="H7:H9"/>
    <mergeCell ref="AE4:AF4"/>
    <mergeCell ref="AE5:AF5"/>
    <mergeCell ref="Z8:AE8"/>
  </mergeCells>
  <phoneticPr fontId="38" type="noConversion"/>
  <conditionalFormatting sqref="U12:U13">
    <cfRule type="expression" dxfId="360" priority="16575" stopIfTrue="1">
      <formula>NOT(ISNUMBER(T$12))</formula>
    </cfRule>
  </conditionalFormatting>
  <conditionalFormatting sqref="E2 U2:AF2">
    <cfRule type="expression" dxfId="359" priority="16576" stopIfTrue="1">
      <formula>AND(ISNUMBER($H1),$H1&lt;&gt;0)</formula>
    </cfRule>
  </conditionalFormatting>
  <conditionalFormatting sqref="I2:S2">
    <cfRule type="expression" dxfId="358" priority="16577" stopIfTrue="1">
      <formula>$M1=2</formula>
    </cfRule>
    <cfRule type="expression" dxfId="357" priority="16578" stopIfTrue="1">
      <formula>AND($M1=1,$S1&lt;&gt;"")</formula>
    </cfRule>
  </conditionalFormatting>
  <conditionalFormatting sqref="I1:S1">
    <cfRule type="expression" dxfId="356" priority="16579" stopIfTrue="1">
      <formula>$M1=2</formula>
    </cfRule>
    <cfRule type="expression" dxfId="355" priority="16580" stopIfTrue="1">
      <formula>AND($M1=1,$S1&lt;&gt;"")</formula>
    </cfRule>
  </conditionalFormatting>
  <conditionalFormatting sqref="E165 E167 E169:E170 E172 E174 U174:AF174 U165:AF165 U167:AF167 U169:AF170 U172:AF172">
    <cfRule type="expression" dxfId="354" priority="16581" stopIfTrue="1">
      <formula>D$170=1</formula>
    </cfRule>
  </conditionalFormatting>
  <conditionalFormatting sqref="E166 E168 E171 E173 E175 U166:AF166 U168:AF168 U171:AF171 U173:AF173 U175:AF175">
    <cfRule type="expression" dxfId="353" priority="16582" stopIfTrue="1">
      <formula>D$170=1</formula>
    </cfRule>
  </conditionalFormatting>
  <conditionalFormatting sqref="AF7:AF8">
    <cfRule type="expression" dxfId="352" priority="16586" stopIfTrue="1">
      <formula>OR(TIPOORCAMENTO&lt;&gt;"Licitado",QCI.ExisteManual)</formula>
    </cfRule>
  </conditionalFormatting>
  <conditionalFormatting sqref="Z7:AE8">
    <cfRule type="expression" dxfId="351" priority="16574" stopIfTrue="1">
      <formula>QCI.ExisteManual</formula>
    </cfRule>
  </conditionalFormatting>
  <conditionalFormatting sqref="H2">
    <cfRule type="expression" dxfId="350" priority="12720">
      <formula>AND(H1&lt;&gt;0,ISNUMBER(H1))</formula>
    </cfRule>
  </conditionalFormatting>
  <conditionalFormatting sqref="E175 U175:AF175">
    <cfRule type="expression" dxfId="349" priority="12711">
      <formula>ROUND(E175,4)&gt;ROUND(E170,4)</formula>
    </cfRule>
  </conditionalFormatting>
  <conditionalFormatting sqref="H1">
    <cfRule type="expression" dxfId="348" priority="12710">
      <formula>AND(H1&lt;&gt;0,ISNUMBER(H1))</formula>
    </cfRule>
  </conditionalFormatting>
  <conditionalFormatting sqref="H175:J175">
    <cfRule type="expression" dxfId="347" priority="12709">
      <formula>$H$174=""</formula>
    </cfRule>
  </conditionalFormatting>
  <conditionalFormatting sqref="E175">
    <cfRule type="expression" dxfId="346" priority="12702" stopIfTrue="1">
      <formula>D$170=1</formula>
    </cfRule>
  </conditionalFormatting>
  <conditionalFormatting sqref="E1">
    <cfRule type="expression" dxfId="345" priority="12699" stopIfTrue="1">
      <formula>E1&lt;&gt;0</formula>
    </cfRule>
  </conditionalFormatting>
  <conditionalFormatting sqref="E2">
    <cfRule type="expression" dxfId="344" priority="12698">
      <formula>AND(_xlfn.SINGLE(ACOMPANHAMENTO)="BM",E2&gt;ROUND(E2,4))</formula>
    </cfRule>
  </conditionalFormatting>
  <conditionalFormatting sqref="E175">
    <cfRule type="expression" dxfId="343" priority="12697" stopIfTrue="1">
      <formula>D$170=1</formula>
    </cfRule>
  </conditionalFormatting>
  <conditionalFormatting sqref="U1:AF1">
    <cfRule type="expression" dxfId="342" priority="2653" stopIfTrue="1">
      <formula>U1&lt;&gt;0</formula>
    </cfRule>
  </conditionalFormatting>
  <conditionalFormatting sqref="U2:AF2">
    <cfRule type="expression" dxfId="341" priority="2652">
      <formula>AND(_xlfn.SINGLE(ACOMPANHAMENTO)="BM",U2&gt;ROUND(U2,4))</formula>
    </cfRule>
  </conditionalFormatting>
  <conditionalFormatting sqref="E15 E18 E21 U15:AF15 U18:AF18 U21:AF21">
    <cfRule type="expression" dxfId="340" priority="183" stopIfTrue="1">
      <formula>AND(ISNUMBER($H14),$H14&lt;&gt;0)</formula>
    </cfRule>
  </conditionalFormatting>
  <conditionalFormatting sqref="I15:S15 I18:S18 I21:S21">
    <cfRule type="expression" dxfId="339" priority="184" stopIfTrue="1">
      <formula>$M14=2</formula>
    </cfRule>
    <cfRule type="expression" dxfId="338" priority="185" stopIfTrue="1">
      <formula>AND($M14=1,$S14&lt;&gt;"")</formula>
    </cfRule>
  </conditionalFormatting>
  <conditionalFormatting sqref="I14:S14 I17:S17 I20:S20">
    <cfRule type="expression" dxfId="337" priority="186" stopIfTrue="1">
      <formula>$M14=2</formula>
    </cfRule>
    <cfRule type="expression" dxfId="336" priority="187" stopIfTrue="1">
      <formula>AND($M14=1,$S14&lt;&gt;"")</formula>
    </cfRule>
  </conditionalFormatting>
  <conditionalFormatting sqref="H15 H18 H21">
    <cfRule type="expression" dxfId="335" priority="182">
      <formula>AND(H14&lt;&gt;0,ISNUMBER(H14))</formula>
    </cfRule>
  </conditionalFormatting>
  <conditionalFormatting sqref="H14 H17 H20">
    <cfRule type="expression" dxfId="334" priority="181">
      <formula>AND(H14&lt;&gt;0,ISNUMBER(H14))</formula>
    </cfRule>
  </conditionalFormatting>
  <conditionalFormatting sqref="E14 E17 E20">
    <cfRule type="expression" dxfId="333" priority="180" stopIfTrue="1">
      <formula>E14&lt;&gt;0</formula>
    </cfRule>
  </conditionalFormatting>
  <conditionalFormatting sqref="E15 E18 E21">
    <cfRule type="expression" dxfId="332" priority="179">
      <formula>AND(_xlfn.SINGLE(ACOMPANHAMENTO)="BM",E15&gt;ROUND(E15,4))</formula>
    </cfRule>
  </conditionalFormatting>
  <conditionalFormatting sqref="U14:AF14 U17:AF17 U20:AF20">
    <cfRule type="expression" dxfId="331" priority="178" stopIfTrue="1">
      <formula>U14&lt;&gt;0</formula>
    </cfRule>
  </conditionalFormatting>
  <conditionalFormatting sqref="U15:AF15 U18:AF18 U21:AF21">
    <cfRule type="expression" dxfId="330" priority="177">
      <formula>AND(_xlfn.SINGLE(ACOMPANHAMENTO)="BM",U15&gt;ROUND(U15,4))</formula>
    </cfRule>
  </conditionalFormatting>
  <conditionalFormatting sqref="E24 E27 E30 U24:AF24 U27:AF27 U30:AF30">
    <cfRule type="expression" dxfId="329" priority="172" stopIfTrue="1">
      <formula>AND(ISNUMBER($H23),$H23&lt;&gt;0)</formula>
    </cfRule>
  </conditionalFormatting>
  <conditionalFormatting sqref="I24:S24 I27:S27 I30:S30">
    <cfRule type="expression" dxfId="328" priority="173" stopIfTrue="1">
      <formula>$M23=2</formula>
    </cfRule>
    <cfRule type="expression" dxfId="327" priority="174" stopIfTrue="1">
      <formula>AND($M23=1,$S23&lt;&gt;"")</formula>
    </cfRule>
  </conditionalFormatting>
  <conditionalFormatting sqref="I23:S23 I26:S26 I29:S29">
    <cfRule type="expression" dxfId="326" priority="175" stopIfTrue="1">
      <formula>$M23=2</formula>
    </cfRule>
    <cfRule type="expression" dxfId="325" priority="176" stopIfTrue="1">
      <formula>AND($M23=1,$S23&lt;&gt;"")</formula>
    </cfRule>
  </conditionalFormatting>
  <conditionalFormatting sqref="H24 H27 H30">
    <cfRule type="expression" dxfId="324" priority="171">
      <formula>AND(H23&lt;&gt;0,ISNUMBER(H23))</formula>
    </cfRule>
  </conditionalFormatting>
  <conditionalFormatting sqref="H23 H26 H29">
    <cfRule type="expression" dxfId="323" priority="170">
      <formula>AND(H23&lt;&gt;0,ISNUMBER(H23))</formula>
    </cfRule>
  </conditionalFormatting>
  <conditionalFormatting sqref="E23 E26 E29">
    <cfRule type="expression" dxfId="322" priority="169" stopIfTrue="1">
      <formula>E23&lt;&gt;0</formula>
    </cfRule>
  </conditionalFormatting>
  <conditionalFormatting sqref="E24 E27 E30">
    <cfRule type="expression" dxfId="321" priority="168">
      <formula>AND(_xlfn.SINGLE(ACOMPANHAMENTO)="BM",E24&gt;ROUND(E24,4))</formula>
    </cfRule>
  </conditionalFormatting>
  <conditionalFormatting sqref="U23:AF23 U26:AF26 U29:AF29">
    <cfRule type="expression" dxfId="320" priority="167" stopIfTrue="1">
      <formula>U23&lt;&gt;0</formula>
    </cfRule>
  </conditionalFormatting>
  <conditionalFormatting sqref="U24:AF24 U27:AF27 U30:AF30">
    <cfRule type="expression" dxfId="319" priority="166">
      <formula>AND(_xlfn.SINGLE(ACOMPANHAMENTO)="BM",U24&gt;ROUND(U24,4))</formula>
    </cfRule>
  </conditionalFormatting>
  <conditionalFormatting sqref="E33 E36 E39 U33:AF33 U36:AF36 U39:AF39">
    <cfRule type="expression" dxfId="318" priority="161" stopIfTrue="1">
      <formula>AND(ISNUMBER($H32),$H32&lt;&gt;0)</formula>
    </cfRule>
  </conditionalFormatting>
  <conditionalFormatting sqref="I33:S33 I36:S36 I39:S39">
    <cfRule type="expression" dxfId="317" priority="162" stopIfTrue="1">
      <formula>$M32=2</formula>
    </cfRule>
    <cfRule type="expression" dxfId="316" priority="163" stopIfTrue="1">
      <formula>AND($M32=1,$S32&lt;&gt;"")</formula>
    </cfRule>
  </conditionalFormatting>
  <conditionalFormatting sqref="I32:S32 I35:S35 I38:S38">
    <cfRule type="expression" dxfId="315" priority="164" stopIfTrue="1">
      <formula>$M32=2</formula>
    </cfRule>
    <cfRule type="expression" dxfId="314" priority="165" stopIfTrue="1">
      <formula>AND($M32=1,$S32&lt;&gt;"")</formula>
    </cfRule>
  </conditionalFormatting>
  <conditionalFormatting sqref="H33 H36 H39">
    <cfRule type="expression" dxfId="313" priority="160">
      <formula>AND(H32&lt;&gt;0,ISNUMBER(H32))</formula>
    </cfRule>
  </conditionalFormatting>
  <conditionalFormatting sqref="H32 H35 H38">
    <cfRule type="expression" dxfId="312" priority="159">
      <formula>AND(H32&lt;&gt;0,ISNUMBER(H32))</formula>
    </cfRule>
  </conditionalFormatting>
  <conditionalFormatting sqref="E32 E35 E38">
    <cfRule type="expression" dxfId="311" priority="158" stopIfTrue="1">
      <formula>E32&lt;&gt;0</formula>
    </cfRule>
  </conditionalFormatting>
  <conditionalFormatting sqref="E33 E36 E39">
    <cfRule type="expression" dxfId="310" priority="157">
      <formula>AND(_xlfn.SINGLE(ACOMPANHAMENTO)="BM",E33&gt;ROUND(E33,4))</formula>
    </cfRule>
  </conditionalFormatting>
  <conditionalFormatting sqref="U32:AF32 U35:AF35 U38:AF38">
    <cfRule type="expression" dxfId="309" priority="156" stopIfTrue="1">
      <formula>U32&lt;&gt;0</formula>
    </cfRule>
  </conditionalFormatting>
  <conditionalFormatting sqref="U33:AF33 U36:AF36 U39:AF39">
    <cfRule type="expression" dxfId="308" priority="155">
      <formula>AND(_xlfn.SINGLE(ACOMPANHAMENTO)="BM",U33&gt;ROUND(U33,4))</formula>
    </cfRule>
  </conditionalFormatting>
  <conditionalFormatting sqref="E42 E45 E48 U42:AF42 U45:AF45 U48:AF48">
    <cfRule type="expression" dxfId="307" priority="150" stopIfTrue="1">
      <formula>AND(ISNUMBER($H41),$H41&lt;&gt;0)</formula>
    </cfRule>
  </conditionalFormatting>
  <conditionalFormatting sqref="I42:S42 I45:S45 I48:S48">
    <cfRule type="expression" dxfId="306" priority="151" stopIfTrue="1">
      <formula>$M41=2</formula>
    </cfRule>
    <cfRule type="expression" dxfId="305" priority="152" stopIfTrue="1">
      <formula>AND($M41=1,$S41&lt;&gt;"")</formula>
    </cfRule>
  </conditionalFormatting>
  <conditionalFormatting sqref="I41:S41 I44:S44 I47:S47">
    <cfRule type="expression" dxfId="304" priority="153" stopIfTrue="1">
      <formula>$M41=2</formula>
    </cfRule>
    <cfRule type="expression" dxfId="303" priority="154" stopIfTrue="1">
      <formula>AND($M41=1,$S41&lt;&gt;"")</formula>
    </cfRule>
  </conditionalFormatting>
  <conditionalFormatting sqref="H42 H45 H48">
    <cfRule type="expression" dxfId="302" priority="149">
      <formula>AND(H41&lt;&gt;0,ISNUMBER(H41))</formula>
    </cfRule>
  </conditionalFormatting>
  <conditionalFormatting sqref="H41 H44 H47">
    <cfRule type="expression" dxfId="301" priority="148">
      <formula>AND(H41&lt;&gt;0,ISNUMBER(H41))</formula>
    </cfRule>
  </conditionalFormatting>
  <conditionalFormatting sqref="E41 E44 E47">
    <cfRule type="expression" dxfId="300" priority="147" stopIfTrue="1">
      <formula>E41&lt;&gt;0</formula>
    </cfRule>
  </conditionalFormatting>
  <conditionalFormatting sqref="E42 E45 E48">
    <cfRule type="expression" dxfId="299" priority="146">
      <formula>AND(_xlfn.SINGLE(ACOMPANHAMENTO)="BM",E42&gt;ROUND(E42,4))</formula>
    </cfRule>
  </conditionalFormatting>
  <conditionalFormatting sqref="U41:AF41 U44:AF44 U47:AF47">
    <cfRule type="expression" dxfId="298" priority="145" stopIfTrue="1">
      <formula>U41&lt;&gt;0</formula>
    </cfRule>
  </conditionalFormatting>
  <conditionalFormatting sqref="U42:AF42 U45:AF45 U48:AF48">
    <cfRule type="expression" dxfId="297" priority="144">
      <formula>AND(_xlfn.SINGLE(ACOMPANHAMENTO)="BM",U42&gt;ROUND(U42,4))</formula>
    </cfRule>
  </conditionalFormatting>
  <conditionalFormatting sqref="E51 E54 E57 U51:AF51 U54:AF54 U57:AF57">
    <cfRule type="expression" dxfId="296" priority="139" stopIfTrue="1">
      <formula>AND(ISNUMBER($H50),$H50&lt;&gt;0)</formula>
    </cfRule>
  </conditionalFormatting>
  <conditionalFormatting sqref="I51:S51 I54:S54 I57:S57">
    <cfRule type="expression" dxfId="295" priority="140" stopIfTrue="1">
      <formula>$M50=2</formula>
    </cfRule>
    <cfRule type="expression" dxfId="294" priority="141" stopIfTrue="1">
      <formula>AND($M50=1,$S50&lt;&gt;"")</formula>
    </cfRule>
  </conditionalFormatting>
  <conditionalFormatting sqref="I50:S50 I53:S53 I56:S56">
    <cfRule type="expression" dxfId="293" priority="142" stopIfTrue="1">
      <formula>$M50=2</formula>
    </cfRule>
    <cfRule type="expression" dxfId="292" priority="143" stopIfTrue="1">
      <formula>AND($M50=1,$S50&lt;&gt;"")</formula>
    </cfRule>
  </conditionalFormatting>
  <conditionalFormatting sqref="H51 H54 H57">
    <cfRule type="expression" dxfId="291" priority="138">
      <formula>AND(H50&lt;&gt;0,ISNUMBER(H50))</formula>
    </cfRule>
  </conditionalFormatting>
  <conditionalFormatting sqref="H50 H53 H56">
    <cfRule type="expression" dxfId="290" priority="137">
      <formula>AND(H50&lt;&gt;0,ISNUMBER(H50))</formula>
    </cfRule>
  </conditionalFormatting>
  <conditionalFormatting sqref="E50 E53 E56">
    <cfRule type="expression" dxfId="289" priority="136" stopIfTrue="1">
      <formula>E50&lt;&gt;0</formula>
    </cfRule>
  </conditionalFormatting>
  <conditionalFormatting sqref="E51 E54 E57">
    <cfRule type="expression" dxfId="288" priority="135">
      <formula>AND(_xlfn.SINGLE(ACOMPANHAMENTO)="BM",E51&gt;ROUND(E51,4))</formula>
    </cfRule>
  </conditionalFormatting>
  <conditionalFormatting sqref="U50:AF50 U53:AF53 U56:AF56">
    <cfRule type="expression" dxfId="287" priority="134" stopIfTrue="1">
      <formula>U50&lt;&gt;0</formula>
    </cfRule>
  </conditionalFormatting>
  <conditionalFormatting sqref="U51:AF51 U54:AF54 U57:AF57">
    <cfRule type="expression" dxfId="286" priority="133">
      <formula>AND(_xlfn.SINGLE(ACOMPANHAMENTO)="BM",U51&gt;ROUND(U51,4))</formula>
    </cfRule>
  </conditionalFormatting>
  <conditionalFormatting sqref="E60 E63 E66 U60:AF60 U63:AF63 U66:AF66">
    <cfRule type="expression" dxfId="285" priority="128" stopIfTrue="1">
      <formula>AND(ISNUMBER($H59),$H59&lt;&gt;0)</formula>
    </cfRule>
  </conditionalFormatting>
  <conditionalFormatting sqref="I60:S60 I63:S63 I66:S66">
    <cfRule type="expression" dxfId="284" priority="129" stopIfTrue="1">
      <formula>$M59=2</formula>
    </cfRule>
    <cfRule type="expression" dxfId="283" priority="130" stopIfTrue="1">
      <formula>AND($M59=1,$S59&lt;&gt;"")</formula>
    </cfRule>
  </conditionalFormatting>
  <conditionalFormatting sqref="I59:S59 I62:S62 I65:S65">
    <cfRule type="expression" dxfId="282" priority="131" stopIfTrue="1">
      <formula>$M59=2</formula>
    </cfRule>
    <cfRule type="expression" dxfId="281" priority="132" stopIfTrue="1">
      <formula>AND($M59=1,$S59&lt;&gt;"")</formula>
    </cfRule>
  </conditionalFormatting>
  <conditionalFormatting sqref="H60 H63 H66">
    <cfRule type="expression" dxfId="280" priority="127">
      <formula>AND(H59&lt;&gt;0,ISNUMBER(H59))</formula>
    </cfRule>
  </conditionalFormatting>
  <conditionalFormatting sqref="H59 H62 H65">
    <cfRule type="expression" dxfId="279" priority="126">
      <formula>AND(H59&lt;&gt;0,ISNUMBER(H59))</formula>
    </cfRule>
  </conditionalFormatting>
  <conditionalFormatting sqref="E59 E62 E65">
    <cfRule type="expression" dxfId="278" priority="125" stopIfTrue="1">
      <formula>E59&lt;&gt;0</formula>
    </cfRule>
  </conditionalFormatting>
  <conditionalFormatting sqref="E60 E63 E66">
    <cfRule type="expression" dxfId="277" priority="124">
      <formula>AND(_xlfn.SINGLE(ACOMPANHAMENTO)="BM",E60&gt;ROUND(E60,4))</formula>
    </cfRule>
  </conditionalFormatting>
  <conditionalFormatting sqref="U59:AF59 U62:AF62 U65:AF65">
    <cfRule type="expression" dxfId="276" priority="123" stopIfTrue="1">
      <formula>U59&lt;&gt;0</formula>
    </cfRule>
  </conditionalFormatting>
  <conditionalFormatting sqref="U60:AF60 U63:AF63 U66:AF66">
    <cfRule type="expression" dxfId="275" priority="122">
      <formula>AND(_xlfn.SINGLE(ACOMPANHAMENTO)="BM",U60&gt;ROUND(U60,4))</formula>
    </cfRule>
  </conditionalFormatting>
  <conditionalFormatting sqref="E69 E72 E75 U69:AF69 U72:AF72 U75:AF75">
    <cfRule type="expression" dxfId="274" priority="117" stopIfTrue="1">
      <formula>AND(ISNUMBER($H68),$H68&lt;&gt;0)</formula>
    </cfRule>
  </conditionalFormatting>
  <conditionalFormatting sqref="I69:S69 I72:S72 I75:S75">
    <cfRule type="expression" dxfId="273" priority="118" stopIfTrue="1">
      <formula>$M68=2</formula>
    </cfRule>
    <cfRule type="expression" dxfId="272" priority="119" stopIfTrue="1">
      <formula>AND($M68=1,$S68&lt;&gt;"")</formula>
    </cfRule>
  </conditionalFormatting>
  <conditionalFormatting sqref="I68:S68 I71:S71 I74:S74">
    <cfRule type="expression" dxfId="271" priority="120" stopIfTrue="1">
      <formula>$M68=2</formula>
    </cfRule>
    <cfRule type="expression" dxfId="270" priority="121" stopIfTrue="1">
      <formula>AND($M68=1,$S68&lt;&gt;"")</formula>
    </cfRule>
  </conditionalFormatting>
  <conditionalFormatting sqref="H69 H72 H75">
    <cfRule type="expression" dxfId="269" priority="116">
      <formula>AND(H68&lt;&gt;0,ISNUMBER(H68))</formula>
    </cfRule>
  </conditionalFormatting>
  <conditionalFormatting sqref="H68 H71 H74">
    <cfRule type="expression" dxfId="268" priority="115">
      <formula>AND(H68&lt;&gt;0,ISNUMBER(H68))</formula>
    </cfRule>
  </conditionalFormatting>
  <conditionalFormatting sqref="E68 E71 E74">
    <cfRule type="expression" dxfId="267" priority="114" stopIfTrue="1">
      <formula>E68&lt;&gt;0</formula>
    </cfRule>
  </conditionalFormatting>
  <conditionalFormatting sqref="E69 E72 E75">
    <cfRule type="expression" dxfId="266" priority="113">
      <formula>AND(_xlfn.SINGLE(ACOMPANHAMENTO)="BM",E69&gt;ROUND(E69,4))</formula>
    </cfRule>
  </conditionalFormatting>
  <conditionalFormatting sqref="U68:AF68 U71:AF71 U74:AF74">
    <cfRule type="expression" dxfId="265" priority="112" stopIfTrue="1">
      <formula>U68&lt;&gt;0</formula>
    </cfRule>
  </conditionalFormatting>
  <conditionalFormatting sqref="U69:AF69 U72:AF72 U75:AF75">
    <cfRule type="expression" dxfId="264" priority="111">
      <formula>AND(_xlfn.SINGLE(ACOMPANHAMENTO)="BM",U69&gt;ROUND(U69,4))</formula>
    </cfRule>
  </conditionalFormatting>
  <conditionalFormatting sqref="E78 E81 E84 U78:AF78 U81:AF81 U84:AF84">
    <cfRule type="expression" dxfId="263" priority="106" stopIfTrue="1">
      <formula>AND(ISNUMBER($H77),$H77&lt;&gt;0)</formula>
    </cfRule>
  </conditionalFormatting>
  <conditionalFormatting sqref="I78:S78 I81:S81 I84:S84">
    <cfRule type="expression" dxfId="262" priority="107" stopIfTrue="1">
      <formula>$M77=2</formula>
    </cfRule>
    <cfRule type="expression" dxfId="261" priority="108" stopIfTrue="1">
      <formula>AND($M77=1,$S77&lt;&gt;"")</formula>
    </cfRule>
  </conditionalFormatting>
  <conditionalFormatting sqref="I77:S77 I80:S80 I83:S83">
    <cfRule type="expression" dxfId="260" priority="109" stopIfTrue="1">
      <formula>$M77=2</formula>
    </cfRule>
    <cfRule type="expression" dxfId="259" priority="110" stopIfTrue="1">
      <formula>AND($M77=1,$S77&lt;&gt;"")</formula>
    </cfRule>
  </conditionalFormatting>
  <conditionalFormatting sqref="H78 H81 H84">
    <cfRule type="expression" dxfId="258" priority="105">
      <formula>AND(H77&lt;&gt;0,ISNUMBER(H77))</formula>
    </cfRule>
  </conditionalFormatting>
  <conditionalFormatting sqref="H77 H80 H83">
    <cfRule type="expression" dxfId="257" priority="104">
      <formula>AND(H77&lt;&gt;0,ISNUMBER(H77))</formula>
    </cfRule>
  </conditionalFormatting>
  <conditionalFormatting sqref="E77 E80 E83">
    <cfRule type="expression" dxfId="256" priority="103" stopIfTrue="1">
      <formula>E77&lt;&gt;0</formula>
    </cfRule>
  </conditionalFormatting>
  <conditionalFormatting sqref="E78 E81 E84">
    <cfRule type="expression" dxfId="255" priority="102">
      <formula>AND(_xlfn.SINGLE(ACOMPANHAMENTO)="BM",E78&gt;ROUND(E78,4))</formula>
    </cfRule>
  </conditionalFormatting>
  <conditionalFormatting sqref="U77:AF77 U80:AF80 U83:AF83">
    <cfRule type="expression" dxfId="254" priority="101" stopIfTrue="1">
      <formula>U77&lt;&gt;0</formula>
    </cfRule>
  </conditionalFormatting>
  <conditionalFormatting sqref="U78:AF78 U81:AF81 U84:AF84">
    <cfRule type="expression" dxfId="253" priority="100">
      <formula>AND(_xlfn.SINGLE(ACOMPANHAMENTO)="BM",U78&gt;ROUND(U78,4))</formula>
    </cfRule>
  </conditionalFormatting>
  <conditionalFormatting sqref="E87 E90 E93 U87:AF87 U90:AF90 U93:AF93">
    <cfRule type="expression" dxfId="252" priority="95" stopIfTrue="1">
      <formula>AND(ISNUMBER($H86),$H86&lt;&gt;0)</formula>
    </cfRule>
  </conditionalFormatting>
  <conditionalFormatting sqref="I87:S87 I90:S90 I93:S93">
    <cfRule type="expression" dxfId="251" priority="96" stopIfTrue="1">
      <formula>$M86=2</formula>
    </cfRule>
    <cfRule type="expression" dxfId="250" priority="97" stopIfTrue="1">
      <formula>AND($M86=1,$S86&lt;&gt;"")</formula>
    </cfRule>
  </conditionalFormatting>
  <conditionalFormatting sqref="I86:S86 I89:S89 I92:S92">
    <cfRule type="expression" dxfId="249" priority="98" stopIfTrue="1">
      <formula>$M86=2</formula>
    </cfRule>
    <cfRule type="expression" dxfId="248" priority="99" stopIfTrue="1">
      <formula>AND($M86=1,$S86&lt;&gt;"")</formula>
    </cfRule>
  </conditionalFormatting>
  <conditionalFormatting sqref="H87 H90 H93">
    <cfRule type="expression" dxfId="247" priority="94">
      <formula>AND(H86&lt;&gt;0,ISNUMBER(H86))</formula>
    </cfRule>
  </conditionalFormatting>
  <conditionalFormatting sqref="H86 H89 H92">
    <cfRule type="expression" dxfId="246" priority="93">
      <formula>AND(H86&lt;&gt;0,ISNUMBER(H86))</formula>
    </cfRule>
  </conditionalFormatting>
  <conditionalFormatting sqref="E86 E89 E92">
    <cfRule type="expression" dxfId="245" priority="92" stopIfTrue="1">
      <formula>E86&lt;&gt;0</formula>
    </cfRule>
  </conditionalFormatting>
  <conditionalFormatting sqref="E87 E90 E93">
    <cfRule type="expression" dxfId="244" priority="91">
      <formula>AND(_xlfn.SINGLE(ACOMPANHAMENTO)="BM",E87&gt;ROUND(E87,4))</formula>
    </cfRule>
  </conditionalFormatting>
  <conditionalFormatting sqref="U86:AF86 U89:AF89 U92:AF92">
    <cfRule type="expression" dxfId="243" priority="90" stopIfTrue="1">
      <formula>U86&lt;&gt;0</formula>
    </cfRule>
  </conditionalFormatting>
  <conditionalFormatting sqref="U87:AF87 U90:AF90 U93:AF93">
    <cfRule type="expression" dxfId="242" priority="89">
      <formula>AND(_xlfn.SINGLE(ACOMPANHAMENTO)="BM",U87&gt;ROUND(U87,4))</formula>
    </cfRule>
  </conditionalFormatting>
  <conditionalFormatting sqref="E96 E99 E102 U96:AF96 U99:AF99 U102:AF102">
    <cfRule type="expression" dxfId="241" priority="84" stopIfTrue="1">
      <formula>AND(ISNUMBER($H95),$H95&lt;&gt;0)</formula>
    </cfRule>
  </conditionalFormatting>
  <conditionalFormatting sqref="I96:S96 I99:S99 I102:S102">
    <cfRule type="expression" dxfId="240" priority="85" stopIfTrue="1">
      <formula>$M95=2</formula>
    </cfRule>
    <cfRule type="expression" dxfId="239" priority="86" stopIfTrue="1">
      <formula>AND($M95=1,$S95&lt;&gt;"")</formula>
    </cfRule>
  </conditionalFormatting>
  <conditionalFormatting sqref="I95:S95 I98:S98 I101:S101">
    <cfRule type="expression" dxfId="238" priority="87" stopIfTrue="1">
      <formula>$M95=2</formula>
    </cfRule>
    <cfRule type="expression" dxfId="237" priority="88" stopIfTrue="1">
      <formula>AND($M95=1,$S95&lt;&gt;"")</formula>
    </cfRule>
  </conditionalFormatting>
  <conditionalFormatting sqref="H96 H99 H102">
    <cfRule type="expression" dxfId="236" priority="83">
      <formula>AND(H95&lt;&gt;0,ISNUMBER(H95))</formula>
    </cfRule>
  </conditionalFormatting>
  <conditionalFormatting sqref="H95 H98 H101">
    <cfRule type="expression" dxfId="235" priority="82">
      <formula>AND(H95&lt;&gt;0,ISNUMBER(H95))</formula>
    </cfRule>
  </conditionalFormatting>
  <conditionalFormatting sqref="E95 E98 E101">
    <cfRule type="expression" dxfId="234" priority="81" stopIfTrue="1">
      <formula>E95&lt;&gt;0</formula>
    </cfRule>
  </conditionalFormatting>
  <conditionalFormatting sqref="E96 E99 E102">
    <cfRule type="expression" dxfId="233" priority="80">
      <formula>AND(_xlfn.SINGLE(ACOMPANHAMENTO)="BM",E96&gt;ROUND(E96,4))</formula>
    </cfRule>
  </conditionalFormatting>
  <conditionalFormatting sqref="U95:AF95 U98:AF98 U101:AF101">
    <cfRule type="expression" dxfId="232" priority="79" stopIfTrue="1">
      <formula>U95&lt;&gt;0</formula>
    </cfRule>
  </conditionalFormatting>
  <conditionalFormatting sqref="U96:AF96 U99:AF99 U102:AF102">
    <cfRule type="expression" dxfId="231" priority="78">
      <formula>AND(_xlfn.SINGLE(ACOMPANHAMENTO)="BM",U96&gt;ROUND(U96,4))</formula>
    </cfRule>
  </conditionalFormatting>
  <conditionalFormatting sqref="E105 E108 E111 U105:AF105 U108:AF108 U111:AF111">
    <cfRule type="expression" dxfId="230" priority="73" stopIfTrue="1">
      <formula>AND(ISNUMBER($H104),$H104&lt;&gt;0)</formula>
    </cfRule>
  </conditionalFormatting>
  <conditionalFormatting sqref="I105:S105 I108:S108 I111:S111">
    <cfRule type="expression" dxfId="229" priority="74" stopIfTrue="1">
      <formula>$M104=2</formula>
    </cfRule>
    <cfRule type="expression" dxfId="228" priority="75" stopIfTrue="1">
      <formula>AND($M104=1,$S104&lt;&gt;"")</formula>
    </cfRule>
  </conditionalFormatting>
  <conditionalFormatting sqref="I104:S104 I107:S107 I110:S110">
    <cfRule type="expression" dxfId="227" priority="76" stopIfTrue="1">
      <formula>$M104=2</formula>
    </cfRule>
    <cfRule type="expression" dxfId="226" priority="77" stopIfTrue="1">
      <formula>AND($M104=1,$S104&lt;&gt;"")</formula>
    </cfRule>
  </conditionalFormatting>
  <conditionalFormatting sqref="H105 H108 H111">
    <cfRule type="expression" dxfId="225" priority="72">
      <formula>AND(H104&lt;&gt;0,ISNUMBER(H104))</formula>
    </cfRule>
  </conditionalFormatting>
  <conditionalFormatting sqref="H104 H107 H110">
    <cfRule type="expression" dxfId="224" priority="71">
      <formula>AND(H104&lt;&gt;0,ISNUMBER(H104))</formula>
    </cfRule>
  </conditionalFormatting>
  <conditionalFormatting sqref="E104 E107 E110">
    <cfRule type="expression" dxfId="223" priority="70" stopIfTrue="1">
      <formula>E104&lt;&gt;0</formula>
    </cfRule>
  </conditionalFormatting>
  <conditionalFormatting sqref="E105 E108 E111">
    <cfRule type="expression" dxfId="222" priority="69">
      <formula>AND(_xlfn.SINGLE(ACOMPANHAMENTO)="BM",E105&gt;ROUND(E105,4))</formula>
    </cfRule>
  </conditionalFormatting>
  <conditionalFormatting sqref="U104:AF104 U107:AF107 U110:AF110">
    <cfRule type="expression" dxfId="221" priority="68" stopIfTrue="1">
      <formula>U104&lt;&gt;0</formula>
    </cfRule>
  </conditionalFormatting>
  <conditionalFormatting sqref="U105:AF105 U108:AF108 U111:AF111">
    <cfRule type="expression" dxfId="220" priority="67">
      <formula>AND(_xlfn.SINGLE(ACOMPANHAMENTO)="BM",U105&gt;ROUND(U105,4))</formula>
    </cfRule>
  </conditionalFormatting>
  <conditionalFormatting sqref="E114 E117 E120 U114:AF114 U117:AF117 U120:AF120">
    <cfRule type="expression" dxfId="219" priority="62" stopIfTrue="1">
      <formula>AND(ISNUMBER($H113),$H113&lt;&gt;0)</formula>
    </cfRule>
  </conditionalFormatting>
  <conditionalFormatting sqref="I114:S114 I117:S117 I120:S120">
    <cfRule type="expression" dxfId="218" priority="63" stopIfTrue="1">
      <formula>$M113=2</formula>
    </cfRule>
    <cfRule type="expression" dxfId="217" priority="64" stopIfTrue="1">
      <formula>AND($M113=1,$S113&lt;&gt;"")</formula>
    </cfRule>
  </conditionalFormatting>
  <conditionalFormatting sqref="I113:S113 I116:S116 I119:S119">
    <cfRule type="expression" dxfId="216" priority="65" stopIfTrue="1">
      <formula>$M113=2</formula>
    </cfRule>
    <cfRule type="expression" dxfId="215" priority="66" stopIfTrue="1">
      <formula>AND($M113=1,$S113&lt;&gt;"")</formula>
    </cfRule>
  </conditionalFormatting>
  <conditionalFormatting sqref="H114 H117 H120">
    <cfRule type="expression" dxfId="214" priority="61">
      <formula>AND(H113&lt;&gt;0,ISNUMBER(H113))</formula>
    </cfRule>
  </conditionalFormatting>
  <conditionalFormatting sqref="H113 H116 H119">
    <cfRule type="expression" dxfId="213" priority="60">
      <formula>AND(H113&lt;&gt;0,ISNUMBER(H113))</formula>
    </cfRule>
  </conditionalFormatting>
  <conditionalFormatting sqref="E113 E116 E119">
    <cfRule type="expression" dxfId="212" priority="59" stopIfTrue="1">
      <formula>E113&lt;&gt;0</formula>
    </cfRule>
  </conditionalFormatting>
  <conditionalFormatting sqref="E114 E117 E120">
    <cfRule type="expression" dxfId="211" priority="58">
      <formula>AND(_xlfn.SINGLE(ACOMPANHAMENTO)="BM",E114&gt;ROUND(E114,4))</formula>
    </cfRule>
  </conditionalFormatting>
  <conditionalFormatting sqref="U113:AF113 U116:AF116 U119:AF119">
    <cfRule type="expression" dxfId="210" priority="57" stopIfTrue="1">
      <formula>U113&lt;&gt;0</formula>
    </cfRule>
  </conditionalFormatting>
  <conditionalFormatting sqref="U114:AF114 U117:AF117 U120:AF120">
    <cfRule type="expression" dxfId="209" priority="56">
      <formula>AND(_xlfn.SINGLE(ACOMPANHAMENTO)="BM",U114&gt;ROUND(U114,4))</formula>
    </cfRule>
  </conditionalFormatting>
  <conditionalFormatting sqref="E123 E126 E129 U123:AF123 U126:AF126 U129:AF129">
    <cfRule type="expression" dxfId="208" priority="51" stopIfTrue="1">
      <formula>AND(ISNUMBER($H122),$H122&lt;&gt;0)</formula>
    </cfRule>
  </conditionalFormatting>
  <conditionalFormatting sqref="I123:S123 I126:S126 I129:S129">
    <cfRule type="expression" dxfId="207" priority="52" stopIfTrue="1">
      <formula>$M122=2</formula>
    </cfRule>
    <cfRule type="expression" dxfId="206" priority="53" stopIfTrue="1">
      <formula>AND($M122=1,$S122&lt;&gt;"")</formula>
    </cfRule>
  </conditionalFormatting>
  <conditionalFormatting sqref="I122:S122 I125:S125 I128:S128">
    <cfRule type="expression" dxfId="205" priority="54" stopIfTrue="1">
      <formula>$M122=2</formula>
    </cfRule>
    <cfRule type="expression" dxfId="204" priority="55" stopIfTrue="1">
      <formula>AND($M122=1,$S122&lt;&gt;"")</formula>
    </cfRule>
  </conditionalFormatting>
  <conditionalFormatting sqref="H123 H126 H129">
    <cfRule type="expression" dxfId="203" priority="50">
      <formula>AND(H122&lt;&gt;0,ISNUMBER(H122))</formula>
    </cfRule>
  </conditionalFormatting>
  <conditionalFormatting sqref="H122 H125 H128">
    <cfRule type="expression" dxfId="202" priority="49">
      <formula>AND(H122&lt;&gt;0,ISNUMBER(H122))</formula>
    </cfRule>
  </conditionalFormatting>
  <conditionalFormatting sqref="E122 E125 E128">
    <cfRule type="expression" dxfId="201" priority="48" stopIfTrue="1">
      <formula>E122&lt;&gt;0</formula>
    </cfRule>
  </conditionalFormatting>
  <conditionalFormatting sqref="E123 E126 E129">
    <cfRule type="expression" dxfId="200" priority="47">
      <formula>AND(_xlfn.SINGLE(ACOMPANHAMENTO)="BM",E123&gt;ROUND(E123,4))</formula>
    </cfRule>
  </conditionalFormatting>
  <conditionalFormatting sqref="U122:AF122 U125:AF125 U128:AF128">
    <cfRule type="expression" dxfId="199" priority="46" stopIfTrue="1">
      <formula>U122&lt;&gt;0</formula>
    </cfRule>
  </conditionalFormatting>
  <conditionalFormatting sqref="U123:AF123 U126:AF126 U129:AF129">
    <cfRule type="expression" dxfId="198" priority="45">
      <formula>AND(_xlfn.SINGLE(ACOMPANHAMENTO)="BM",U123&gt;ROUND(U123,4))</formula>
    </cfRule>
  </conditionalFormatting>
  <conditionalFormatting sqref="E132 E135 E138 U132:AF132 U135:AF135 U138:AF138">
    <cfRule type="expression" dxfId="197" priority="40" stopIfTrue="1">
      <formula>AND(ISNUMBER($H131),$H131&lt;&gt;0)</formula>
    </cfRule>
  </conditionalFormatting>
  <conditionalFormatting sqref="I132:S132 I135:S135 I138:S138">
    <cfRule type="expression" dxfId="196" priority="41" stopIfTrue="1">
      <formula>$M131=2</formula>
    </cfRule>
    <cfRule type="expression" dxfId="195" priority="42" stopIfTrue="1">
      <formula>AND($M131=1,$S131&lt;&gt;"")</formula>
    </cfRule>
  </conditionalFormatting>
  <conditionalFormatting sqref="I131:S131 I134:S134 I137:S137">
    <cfRule type="expression" dxfId="194" priority="43" stopIfTrue="1">
      <formula>$M131=2</formula>
    </cfRule>
    <cfRule type="expression" dxfId="193" priority="44" stopIfTrue="1">
      <formula>AND($M131=1,$S131&lt;&gt;"")</formula>
    </cfRule>
  </conditionalFormatting>
  <conditionalFormatting sqref="H132 H135 H138">
    <cfRule type="expression" dxfId="192" priority="39">
      <formula>AND(H131&lt;&gt;0,ISNUMBER(H131))</formula>
    </cfRule>
  </conditionalFormatting>
  <conditionalFormatting sqref="H131 H134 H137">
    <cfRule type="expression" dxfId="191" priority="38">
      <formula>AND(H131&lt;&gt;0,ISNUMBER(H131))</formula>
    </cfRule>
  </conditionalFormatting>
  <conditionalFormatting sqref="E131 E134 E137">
    <cfRule type="expression" dxfId="190" priority="37" stopIfTrue="1">
      <formula>E131&lt;&gt;0</formula>
    </cfRule>
  </conditionalFormatting>
  <conditionalFormatting sqref="E132 E135 E138">
    <cfRule type="expression" dxfId="189" priority="36">
      <formula>AND(_xlfn.SINGLE(ACOMPANHAMENTO)="BM",E132&gt;ROUND(E132,4))</formula>
    </cfRule>
  </conditionalFormatting>
  <conditionalFormatting sqref="U131:AF131 U134:AF134 U137:AF137">
    <cfRule type="expression" dxfId="188" priority="35" stopIfTrue="1">
      <formula>U131&lt;&gt;0</formula>
    </cfRule>
  </conditionalFormatting>
  <conditionalFormatting sqref="U132:AF132 U135:AF135 U138:AF138">
    <cfRule type="expression" dxfId="187" priority="34">
      <formula>AND(_xlfn.SINGLE(ACOMPANHAMENTO)="BM",U132&gt;ROUND(U132,4))</formula>
    </cfRule>
  </conditionalFormatting>
  <conditionalFormatting sqref="E141 E144 E147 U141:AF141 U144:AF144 U147:AF147">
    <cfRule type="expression" dxfId="186" priority="29" stopIfTrue="1">
      <formula>AND(ISNUMBER($H140),$H140&lt;&gt;0)</formula>
    </cfRule>
  </conditionalFormatting>
  <conditionalFormatting sqref="I141:S141 I144:S144 I147:S147">
    <cfRule type="expression" dxfId="185" priority="30" stopIfTrue="1">
      <formula>$M140=2</formula>
    </cfRule>
    <cfRule type="expression" dxfId="184" priority="31" stopIfTrue="1">
      <formula>AND($M140=1,$S140&lt;&gt;"")</formula>
    </cfRule>
  </conditionalFormatting>
  <conditionalFormatting sqref="I140:S140 I143:S143 I146:S146">
    <cfRule type="expression" dxfId="183" priority="32" stopIfTrue="1">
      <formula>$M140=2</formula>
    </cfRule>
    <cfRule type="expression" dxfId="182" priority="33" stopIfTrue="1">
      <formula>AND($M140=1,$S140&lt;&gt;"")</formula>
    </cfRule>
  </conditionalFormatting>
  <conditionalFormatting sqref="H141 H144 H147">
    <cfRule type="expression" dxfId="181" priority="28">
      <formula>AND(H140&lt;&gt;0,ISNUMBER(H140))</formula>
    </cfRule>
  </conditionalFormatting>
  <conditionalFormatting sqref="H140 H143 H146">
    <cfRule type="expression" dxfId="180" priority="27">
      <formula>AND(H140&lt;&gt;0,ISNUMBER(H140))</formula>
    </cfRule>
  </conditionalFormatting>
  <conditionalFormatting sqref="E140 E143 E146">
    <cfRule type="expression" dxfId="179" priority="26" stopIfTrue="1">
      <formula>E140&lt;&gt;0</formula>
    </cfRule>
  </conditionalFormatting>
  <conditionalFormatting sqref="E141 E144 E147">
    <cfRule type="expression" dxfId="178" priority="25">
      <formula>AND(_xlfn.SINGLE(ACOMPANHAMENTO)="BM",E141&gt;ROUND(E141,4))</formula>
    </cfRule>
  </conditionalFormatting>
  <conditionalFormatting sqref="U140:AF140 U143:AF143 U146:AF146">
    <cfRule type="expression" dxfId="177" priority="24" stopIfTrue="1">
      <formula>U140&lt;&gt;0</formula>
    </cfRule>
  </conditionalFormatting>
  <conditionalFormatting sqref="U141:AF141 U144:AF144 U147:AF147">
    <cfRule type="expression" dxfId="176" priority="23">
      <formula>AND(_xlfn.SINGLE(ACOMPANHAMENTO)="BM",U141&gt;ROUND(U141,4))</formula>
    </cfRule>
  </conditionalFormatting>
  <conditionalFormatting sqref="E150 E153 E156 U150:AF150 U153:AF153 U156:AF156">
    <cfRule type="expression" dxfId="175" priority="18" stopIfTrue="1">
      <formula>AND(ISNUMBER($H149),$H149&lt;&gt;0)</formula>
    </cfRule>
  </conditionalFormatting>
  <conditionalFormatting sqref="I150:S150 I153:S153 I156:S156">
    <cfRule type="expression" dxfId="174" priority="19" stopIfTrue="1">
      <formula>$M149=2</formula>
    </cfRule>
    <cfRule type="expression" dxfId="173" priority="20" stopIfTrue="1">
      <formula>AND($M149=1,$S149&lt;&gt;"")</formula>
    </cfRule>
  </conditionalFormatting>
  <conditionalFormatting sqref="I149:S149 I152:S152 I155:S155">
    <cfRule type="expression" dxfId="172" priority="21" stopIfTrue="1">
      <formula>$M149=2</formula>
    </cfRule>
    <cfRule type="expression" dxfId="171" priority="22" stopIfTrue="1">
      <formula>AND($M149=1,$S149&lt;&gt;"")</formula>
    </cfRule>
  </conditionalFormatting>
  <conditionalFormatting sqref="H150 H153 H156">
    <cfRule type="expression" dxfId="170" priority="17">
      <formula>AND(H149&lt;&gt;0,ISNUMBER(H149))</formula>
    </cfRule>
  </conditionalFormatting>
  <conditionalFormatting sqref="H149 H152 H155">
    <cfRule type="expression" dxfId="169" priority="16">
      <formula>AND(H149&lt;&gt;0,ISNUMBER(H149))</formula>
    </cfRule>
  </conditionalFormatting>
  <conditionalFormatting sqref="E149 E152 E155">
    <cfRule type="expression" dxfId="168" priority="15" stopIfTrue="1">
      <formula>E149&lt;&gt;0</formula>
    </cfRule>
  </conditionalFormatting>
  <conditionalFormatting sqref="E150 E153 E156">
    <cfRule type="expression" dxfId="167" priority="14">
      <formula>AND(_xlfn.SINGLE(ACOMPANHAMENTO)="BM",E150&gt;ROUND(E150,4))</formula>
    </cfRule>
  </conditionalFormatting>
  <conditionalFormatting sqref="U149:AF149 U152:AF152 U155:AF155">
    <cfRule type="expression" dxfId="166" priority="13" stopIfTrue="1">
      <formula>U149&lt;&gt;0</formula>
    </cfRule>
  </conditionalFormatting>
  <conditionalFormatting sqref="U150:AF150 U153:AF153 U156:AF156">
    <cfRule type="expression" dxfId="165" priority="12">
      <formula>AND(_xlfn.SINGLE(ACOMPANHAMENTO)="BM",U150&gt;ROUND(U150,4))</formula>
    </cfRule>
  </conditionalFormatting>
  <conditionalFormatting sqref="E159 E162 U159:AF159 U162:AF162">
    <cfRule type="expression" dxfId="164" priority="7" stopIfTrue="1">
      <formula>AND(ISNUMBER($H158),$H158&lt;&gt;0)</formula>
    </cfRule>
  </conditionalFormatting>
  <conditionalFormatting sqref="I159:S159 I162:S162">
    <cfRule type="expression" dxfId="163" priority="8" stopIfTrue="1">
      <formula>$M158=2</formula>
    </cfRule>
    <cfRule type="expression" dxfId="162" priority="9" stopIfTrue="1">
      <formula>AND($M158=1,$S158&lt;&gt;"")</formula>
    </cfRule>
  </conditionalFormatting>
  <conditionalFormatting sqref="I158:S158 I161:S161">
    <cfRule type="expression" dxfId="161" priority="10" stopIfTrue="1">
      <formula>$M158=2</formula>
    </cfRule>
    <cfRule type="expression" dxfId="160" priority="11" stopIfTrue="1">
      <formula>AND($M158=1,$S158&lt;&gt;"")</formula>
    </cfRule>
  </conditionalFormatting>
  <conditionalFormatting sqref="H159 H162">
    <cfRule type="expression" dxfId="159" priority="6">
      <formula>AND(H158&lt;&gt;0,ISNUMBER(H158))</formula>
    </cfRule>
  </conditionalFormatting>
  <conditionalFormatting sqref="H158 H161">
    <cfRule type="expression" dxfId="158" priority="5">
      <formula>AND(H158&lt;&gt;0,ISNUMBER(H158))</formula>
    </cfRule>
  </conditionalFormatting>
  <conditionalFormatting sqref="E158 E161">
    <cfRule type="expression" dxfId="157" priority="4" stopIfTrue="1">
      <formula>E158&lt;&gt;0</formula>
    </cfRule>
  </conditionalFormatting>
  <conditionalFormatting sqref="E159 E162">
    <cfRule type="expression" dxfId="156" priority="3">
      <formula>AND(_xlfn.SINGLE(ACOMPANHAMENTO)="BM",E159&gt;ROUND(E159,4))</formula>
    </cfRule>
  </conditionalFormatting>
  <conditionalFormatting sqref="U158:AF158 U161:AF161">
    <cfRule type="expression" dxfId="155" priority="2" stopIfTrue="1">
      <formula>U158&lt;&gt;0</formula>
    </cfRule>
  </conditionalFormatting>
  <conditionalFormatting sqref="U159:AF159 U162:AF162">
    <cfRule type="expression" dxfId="154" priority="1">
      <formula>AND(_xlfn.SINGLE(ACOMPANHAMENTO)="BM",U159&gt;ROUND(U159,4))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4" t="s">
        <v>650</v>
      </c>
      <c r="E3" s="684"/>
      <c r="F3" s="87" t="s">
        <v>707</v>
      </c>
      <c r="G3" s="684" t="s">
        <v>652</v>
      </c>
      <c r="H3" s="684"/>
      <c r="I3" s="684"/>
      <c r="J3" s="777" t="s">
        <v>808</v>
      </c>
      <c r="K3" s="777"/>
      <c r="L3" s="777"/>
      <c r="M3" s="778" t="s">
        <v>809</v>
      </c>
      <c r="N3" s="778"/>
      <c r="O3" s="778"/>
      <c r="Z3" s="102">
        <f ca="1">MAX(Z7:AB7)</f>
        <v>8.1571256327400213E-2</v>
      </c>
      <c r="AA3" s="273" cm="1">
        <f t="array" aca="1" ref="AA3" ca="1">IF(OR($O$24=ORÇAMENTO.SumINVMANUAL+QCI.SumINVMANUAL,$O$24=0),0,MIN(MAX(0,($Z$3*$O$24-ORÇAMENTO.SumCPMANUAL-QCI.SumCPMANUAL)/($O$24-ORÇAMENTO.SumINVMANUAL-QCI.SumINVMANUAL)),1))</f>
        <v>8.1571256327400213E-2</v>
      </c>
      <c r="AB3" s="92"/>
    </row>
    <row r="4" spans="1:31" x14ac:dyDescent="0.2">
      <c r="A4" t="s">
        <v>977</v>
      </c>
      <c r="D4" s="681" t="str">
        <f>Import.CR</f>
        <v>984561-2025</v>
      </c>
      <c r="E4" s="681"/>
      <c r="F4" s="56" t="str">
        <f>Import.TransfereGOV</f>
        <v>984561</v>
      </c>
      <c r="G4" s="681" t="str">
        <f>Import.Proponente</f>
        <v>Município de Ivorá</v>
      </c>
      <c r="H4" s="681"/>
      <c r="I4" s="681"/>
      <c r="J4" s="779" t="str">
        <f>Import.Município</f>
        <v>Ivorá/RS</v>
      </c>
      <c r="K4" s="779"/>
      <c r="L4" s="779"/>
      <c r="M4" s="778"/>
      <c r="N4" s="778"/>
      <c r="O4" s="778"/>
      <c r="R4" s="129"/>
      <c r="Z4" s="92"/>
      <c r="AA4" s="92"/>
      <c r="AB4" s="92"/>
    </row>
    <row r="5" spans="1:31" ht="5.0999999999999996" customHeight="1" x14ac:dyDescent="0.2">
      <c r="A5" t="s">
        <v>978</v>
      </c>
      <c r="M5" s="265"/>
      <c r="O5" s="4"/>
    </row>
    <row r="6" spans="1:31" x14ac:dyDescent="0.2">
      <c r="A6" t="s">
        <v>979</v>
      </c>
      <c r="D6" s="684" t="s">
        <v>708</v>
      </c>
      <c r="E6" s="684"/>
      <c r="F6" s="684"/>
      <c r="G6" s="684"/>
      <c r="H6" s="684"/>
      <c r="I6" s="684"/>
      <c r="J6" s="684"/>
      <c r="K6" s="684"/>
      <c r="L6" s="274" t="s">
        <v>715</v>
      </c>
      <c r="M6" s="87" t="str">
        <f>IF(import.recurso="FGTS","FINANCIAMENTO","REPASSE")</f>
        <v>REPASSE</v>
      </c>
      <c r="N6" s="87" t="s">
        <v>810</v>
      </c>
      <c r="O6" s="87" t="s">
        <v>811</v>
      </c>
      <c r="Z6" t="s">
        <v>812</v>
      </c>
      <c r="AA6" t="s">
        <v>813</v>
      </c>
      <c r="AB6" t="s">
        <v>814</v>
      </c>
    </row>
    <row r="7" spans="1:31" ht="12.75" customHeight="1" x14ac:dyDescent="0.2">
      <c r="A7" s="658" t="s">
        <v>982</v>
      </c>
      <c r="C7" s="710" t="s">
        <v>655</v>
      </c>
      <c r="D7" s="681" t="str">
        <f>Import.Apelido</f>
        <v>Pavimentação Rua Padre Pedro Marcelino Copetti</v>
      </c>
      <c r="E7" s="681"/>
      <c r="F7" s="681"/>
      <c r="G7" s="681"/>
      <c r="H7" s="681"/>
      <c r="I7" s="681"/>
      <c r="J7" s="681"/>
      <c r="K7" s="681"/>
      <c r="L7" s="275" t="str">
        <f>import.recurso</f>
        <v>OGU</v>
      </c>
      <c r="M7" s="276">
        <f>Import.Repasse</f>
        <v>389863</v>
      </c>
      <c r="N7" s="276">
        <f>Import.Contrapartida</f>
        <v>34626.11</v>
      </c>
      <c r="O7" s="276">
        <f>M7+N7</f>
        <v>424489.11</v>
      </c>
      <c r="Z7" s="102">
        <f>ROUND(Import.CPMinPerc,4)</f>
        <v>1E-3</v>
      </c>
      <c r="AA7" s="102">
        <f ca="1">IF($O$24=0,0,Import.CPMinAbsoluta/$O$24)</f>
        <v>0</v>
      </c>
      <c r="AB7" s="102">
        <f ca="1">IF($O$24=0,0,($O$24-$AB$24-Import.Repasse)/($O$24))</f>
        <v>8.1571256327400213E-2</v>
      </c>
    </row>
    <row r="8" spans="1:31" x14ac:dyDescent="0.2">
      <c r="A8" t="s">
        <v>819</v>
      </c>
      <c r="C8" s="710"/>
      <c r="D8" s="92"/>
      <c r="E8" s="92"/>
      <c r="F8" s="277"/>
      <c r="G8" s="92"/>
      <c r="H8" s="92"/>
      <c r="I8" s="92"/>
      <c r="J8" s="92"/>
      <c r="K8" s="92"/>
      <c r="L8" s="92"/>
      <c r="M8" s="92"/>
      <c r="N8" s="92"/>
      <c r="O8" s="92"/>
    </row>
    <row r="9" spans="1:31" ht="12.75" customHeight="1" x14ac:dyDescent="0.2">
      <c r="A9" t="s">
        <v>981</v>
      </c>
      <c r="C9" s="710"/>
      <c r="G9" s="783"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IF(OFFSET($A$24,-1,0)&lt;OFFSET(ORÇAMENTO!$E$44,-1,0),"ERRO: NÚMERO DE LINHAS DO QCI INSUFICIENTE. CLIQUE NO BOTÃO ADICIONAR LINHAS",
  "")))))))</f>
        <v>PREENCHIMENTO INCOMPLETO DA TABELA PRINCIPAL DO QCI</v>
      </c>
      <c r="H9" s="783"/>
      <c r="I9" s="512"/>
      <c r="J9" s="511"/>
      <c r="K9" s="782" t="s">
        <v>815</v>
      </c>
      <c r="L9" s="278" t="str">
        <f>$L$13</f>
        <v>Repasse (R$)</v>
      </c>
      <c r="M9" s="278" t="s">
        <v>741</v>
      </c>
      <c r="AD9" s="780"/>
      <c r="AE9" s="780"/>
    </row>
    <row r="10" spans="1:31" ht="12.75" customHeight="1" x14ac:dyDescent="0.2">
      <c r="A10" s="784" t="s">
        <v>816</v>
      </c>
      <c r="C10" s="710"/>
      <c r="G10" s="783"/>
      <c r="H10" s="783"/>
      <c r="I10" s="512"/>
      <c r="J10" s="511"/>
      <c r="K10" s="782"/>
      <c r="L10" s="279">
        <f ca="1">Import.Repasse-L24</f>
        <v>0</v>
      </c>
      <c r="M10" s="280">
        <f ca="1">Import.Contrapartida-M24</f>
        <v>0</v>
      </c>
      <c r="Z10" s="724" t="s">
        <v>721</v>
      </c>
      <c r="AA10" s="724"/>
      <c r="AB10" s="724"/>
      <c r="AD10" s="780" t="s">
        <v>817</v>
      </c>
      <c r="AE10" s="780"/>
    </row>
    <row r="11" spans="1:31" ht="20.100000000000001" customHeight="1" x14ac:dyDescent="0.25">
      <c r="A11" s="784"/>
      <c r="C11" s="710"/>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IF(NOT(ISBLANK(QCI.DescManual)),IF(QCI.Divisao="Calculado","Manual","SemiAuto"),IF(ISERROR(MATCH($A12,ORÇAMENTO!$E$15:$E$44,0)),"Branco","Automático"))</f>
        <v>Branco</v>
      </c>
      <c r="C12" t="str">
        <f ca="1">IF(O12&gt;0,"F","")</f>
        <v/>
      </c>
      <c r="D12" s="281">
        <f>ROW()-ROW($D$13)</f>
        <v>-1</v>
      </c>
      <c r="E12" s="118"/>
      <c r="F12" s="118"/>
      <c r="G12" s="163" t="str">
        <f ca="1">IF(OR($B12="Manual",$B12="SemiAuto"),QCI.DescManual,IF($B12="Automático",INDEX(ORÇAMENTO!$R$15:$R$44,MATCH($A12,ORÇAMENTO!$E$15:$E$44,0)),""))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IF($B12="Branco",0,IF(OR($B12="Manual",$B12="SemiAuto"),QCI.InvManual,INDEX(ORÇAMENTO!X$15:X$44,MATCH($A12,ORÇAMENTO!$E$15:$E$44,0))))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IF($B12="Branco",0,IF($B12="Manual",QCI.CPManual,IF($B12="SemiAuto",ROUND(QCI!$AA$3*QCI.InvManual,2),INDEX(ORÇAMENTO!$AA$15:$AA$44,MATCH($A12,ORÇAMENTO!$E$15:$E$44,0)))))</f>
        <v>0</v>
      </c>
      <c r="AB12" cm="1">
        <f t="array" aca="1" ref="AB12" ca="1">IF($B12="Branco",0,IF($B12="Manual",QCI.OutrosManual,IF($B12="SemiAuto",0,INDEX(ORÇAMENTO!$AB$15:$AB$44,MATCH($A12,ORÇAMENTO!$E$15:$E$44,0)))))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IF(NOT(ISBLANK(QCI.DescManual)),IF(QCI.Divisao="Calculado","Manual","SemiAuto"),IF(ISERROR(MATCH($A14,ORÇAMENTO!$E$15:$E$44,0)),"Branco","Automático"))</f>
        <v>Automático</v>
      </c>
      <c r="C14" t="str">
        <f t="shared" ref="C14:C22" ca="1" si="1">IF(O14&gt;0,"F","")</f>
        <v>F</v>
      </c>
      <c r="D14" s="281">
        <f t="shared" ref="D14:D22" si="2">ROW()-ROW($D$13)</f>
        <v>1</v>
      </c>
      <c r="E14" s="118"/>
      <c r="F14" s="118"/>
      <c r="G14" s="163" t="str">
        <f ca="1">IF(OR($B14="Manual",$B14="SemiAuto"),QCI.DescManual,IF($B14="Automático",INDEX(ORÇAMENTO!$R$15:$R$44,MATCH($A14,ORÇAMENTO!$E$15:$E$44,0)),""))</f>
        <v>Pavimentação em CBUQ Rua Padre Pedro Marcelino Copetti</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389863</v>
      </c>
      <c r="M14" s="284">
        <f t="shared" ref="M14:M22" ca="1" si="4">ROUND($AA14,2)-ROUND($AE14,2)</f>
        <v>34626.11</v>
      </c>
      <c r="N14" s="285">
        <f t="shared" ref="N14:N22" ca="1" si="5">ROUND($AB14,2)</f>
        <v>0</v>
      </c>
      <c r="O14" s="286" cm="1">
        <f t="array" aca="1" ref="O14" ca="1">IF($B14="Branco",0,IF(OR($B14="Manual",$B14="SemiAuto"),QCI.InvManual,INDEX(ORÇAMENTO!X$15:X$44,MATCH($A14,ORÇAMENTO!$E$15:$E$44,0))))</f>
        <v>424489.11</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389863</v>
      </c>
      <c r="AA14" cm="1">
        <f t="array" aca="1" ref="AA14" ca="1">IF($B14="Branco",0,IF($B14="Manual",QCI.CPManual,IF($B14="SemiAuto",ROUND(QCI!$AA$3*QCI.InvManual,2),INDEX(ORÇAMENTO!$AA$15:$AA$44,MATCH($A14,ORÇAMENTO!$E$15:$E$44,0)))))</f>
        <v>34626.109999999986</v>
      </c>
      <c r="AB14" cm="1">
        <f t="array" aca="1" ref="AB14" ca="1">IF($B14="Branco",0,IF($B14="Manual",QCI.OutrosManual,IF($B14="SemiAuto",0,INDEX(ORÇAMENTO!$AB$15:$AB$44,MATCH($A14,ORÇAMENTO!$E$15:$E$44,0)))))</f>
        <v>0</v>
      </c>
      <c r="AD14" s="289" t="b">
        <f ca="1">AND($AA$3&gt;0,$AA$3&lt;1,$O14&gt;0,OR($B14="Automático",$B14="SemiAuto"),OR(QCI!$Z$3=QCI!$Z$7,QCI!$Z$3=QCI!$AA$7,QCI!$Z$3=QCI!$AB$7))</f>
        <v>1</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IF(NOT(ISBLANK(QCI.DescManual)),IF(QCI.Divisao="Calculado","Manual","SemiAuto"),IF(ISERROR(MATCH($A15,ORÇAMENTO!$E$15:$E$44,0)),"Branco","Automático"))</f>
        <v>Branco</v>
      </c>
      <c r="C15" t="str">
        <f t="shared" ca="1" si="1"/>
        <v/>
      </c>
      <c r="D15" s="281">
        <f t="shared" si="2"/>
        <v>2</v>
      </c>
      <c r="E15" s="118"/>
      <c r="F15" s="118"/>
      <c r="G15" s="163" t="str">
        <f ca="1">IF(OR($B15="Manual",$B15="SemiAuto"),QCI.DescManual,IF($B15="Automático",INDEX(ORÇAMENTO!$R$15:$R$44,MATCH($A15,ORÇAMENTO!$E$15:$E$44,0)),""))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IF($B15="Branco",0,IF(OR($B15="Manual",$B15="SemiAuto"),QCI.InvManual,INDEX(ORÇAMENTO!X$15:X$44,MATCH($A15,ORÇAMENTO!$E$15:$E$44,0))))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IF($B15="Branco",0,IF($B15="Manual",QCI.CPManual,IF($B15="SemiAuto",ROUND(QCI!$AA$3*QCI.InvManual,2),INDEX(ORÇAMENTO!$AA$15:$AA$44,MATCH($A15,ORÇAMENTO!$E$15:$E$44,0)))))</f>
        <v>0</v>
      </c>
      <c r="AB15" cm="1">
        <f t="array" aca="1" ref="AB15" ca="1">IF($B15="Branco",0,IF($B15="Manual",QCI.OutrosManual,IF($B15="SemiAuto",0,INDEX(ORÇAMENTO!$AB$15:$AB$44,MATCH($A15,ORÇAMENTO!$E$15:$E$44,0)))))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IF(NOT(ISBLANK(QCI.DescManual)),IF(QCI.Divisao="Calculado","Manual","SemiAuto"),IF(ISERROR(MATCH($A16,ORÇAMENTO!$E$15:$E$44,0)),"Branco","Automático"))</f>
        <v>Branco</v>
      </c>
      <c r="C16" t="str">
        <f t="shared" ca="1" si="1"/>
        <v/>
      </c>
      <c r="D16" s="281">
        <f t="shared" si="2"/>
        <v>3</v>
      </c>
      <c r="E16" s="118"/>
      <c r="F16" s="118"/>
      <c r="G16" s="163" t="str">
        <f ca="1">IF(OR($B16="Manual",$B16="SemiAuto"),QCI.DescManual,IF($B16="Automático",INDEX(ORÇAMENTO!$R$15:$R$44,MATCH($A16,ORÇAMENTO!$E$15:$E$44,0)),""))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IF($B16="Branco",0,IF(OR($B16="Manual",$B16="SemiAuto"),QCI.InvManual,INDEX(ORÇAMENTO!X$15:X$44,MATCH($A16,ORÇAMENTO!$E$15:$E$44,0))))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IF($B16="Branco",0,IF($B16="Manual",QCI.CPManual,IF($B16="SemiAuto",ROUND(QCI!$AA$3*QCI.InvManual,2),INDEX(ORÇAMENTO!$AA$15:$AA$44,MATCH($A16,ORÇAMENTO!$E$15:$E$44,0)))))</f>
        <v>0</v>
      </c>
      <c r="AB16" cm="1">
        <f t="array" aca="1" ref="AB16" ca="1">IF($B16="Branco",0,IF($B16="Manual",QCI.OutrosManual,IF($B16="SemiAuto",0,INDEX(ORÇAMENTO!$AB$15:$AB$44,MATCH($A16,ORÇAMENTO!$E$15:$E$44,0)))))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IF(NOT(ISBLANK(QCI.DescManual)),IF(QCI.Divisao="Calculado","Manual","SemiAuto"),IF(ISERROR(MATCH($A17,ORÇAMENTO!$E$15:$E$44,0)),"Branco","Automático"))</f>
        <v>Branco</v>
      </c>
      <c r="C17" t="str">
        <f t="shared" ca="1" si="1"/>
        <v/>
      </c>
      <c r="D17" s="281">
        <f t="shared" si="2"/>
        <v>4</v>
      </c>
      <c r="E17" s="118"/>
      <c r="F17" s="118"/>
      <c r="G17" s="163" t="str">
        <f ca="1">IF(OR($B17="Manual",$B17="SemiAuto"),QCI.DescManual,IF($B17="Automático",INDEX(ORÇAMENTO!$R$15:$R$44,MATCH($A17,ORÇAMENTO!$E$15:$E$44,0)),""))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IF($B17="Branco",0,IF(OR($B17="Manual",$B17="SemiAuto"),QCI.InvManual,INDEX(ORÇAMENTO!X$15:X$44,MATCH($A17,ORÇAMENTO!$E$15:$E$44,0))))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IF($B17="Branco",0,IF($B17="Manual",QCI.CPManual,IF($B17="SemiAuto",ROUND(QCI!$AA$3*QCI.InvManual,2),INDEX(ORÇAMENTO!$AA$15:$AA$44,MATCH($A17,ORÇAMENTO!$E$15:$E$44,0)))))</f>
        <v>0</v>
      </c>
      <c r="AB17" cm="1">
        <f t="array" aca="1" ref="AB17" ca="1">IF($B17="Branco",0,IF($B17="Manual",QCI.OutrosManual,IF($B17="SemiAuto",0,INDEX(ORÇAMENTO!$AB$15:$AB$44,MATCH($A17,ORÇAMENTO!$E$15:$E$44,0)))))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IF(NOT(ISBLANK(QCI.DescManual)),IF(QCI.Divisao="Calculado","Manual","SemiAuto"),IF(ISERROR(MATCH($A18,ORÇAMENTO!$E$15:$E$44,0)),"Branco","Automático"))</f>
        <v>Branco</v>
      </c>
      <c r="C18" t="str">
        <f t="shared" ca="1" si="1"/>
        <v/>
      </c>
      <c r="D18" s="281">
        <f t="shared" si="2"/>
        <v>5</v>
      </c>
      <c r="E18" s="118"/>
      <c r="F18" s="118"/>
      <c r="G18" s="163" t="str">
        <f ca="1">IF(OR($B18="Manual",$B18="SemiAuto"),QCI.DescManual,IF($B18="Automático",INDEX(ORÇAMENTO!$R$15:$R$44,MATCH($A18,ORÇAMENTO!$E$15:$E$44,0)),""))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IF($B18="Branco",0,IF(OR($B18="Manual",$B18="SemiAuto"),QCI.InvManual,INDEX(ORÇAMENTO!X$15:X$44,MATCH($A18,ORÇAMENTO!$E$15:$E$44,0))))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IF($B18="Branco",0,IF($B18="Manual",QCI.CPManual,IF($B18="SemiAuto",ROUND(QCI!$AA$3*QCI.InvManual,2),INDEX(ORÇAMENTO!$AA$15:$AA$44,MATCH($A18,ORÇAMENTO!$E$15:$E$44,0)))))</f>
        <v>0</v>
      </c>
      <c r="AB18" cm="1">
        <f t="array" aca="1" ref="AB18" ca="1">IF($B18="Branco",0,IF($B18="Manual",QCI.OutrosManual,IF($B18="SemiAuto",0,INDEX(ORÇAMENTO!$AB$15:$AB$44,MATCH($A18,ORÇAMENTO!$E$15:$E$44,0)))))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IF(NOT(ISBLANK(QCI.DescManual)),IF(QCI.Divisao="Calculado","Manual","SemiAuto"),IF(ISERROR(MATCH($A19,ORÇAMENTO!$E$15:$E$44,0)),"Branco","Automático"))</f>
        <v>Branco</v>
      </c>
      <c r="C19" t="str">
        <f t="shared" ca="1" si="1"/>
        <v/>
      </c>
      <c r="D19" s="281">
        <f t="shared" si="2"/>
        <v>6</v>
      </c>
      <c r="E19" s="118"/>
      <c r="F19" s="118"/>
      <c r="G19" s="163" t="str">
        <f ca="1">IF(OR($B19="Manual",$B19="SemiAuto"),QCI.DescManual,IF($B19="Automático",INDEX(ORÇAMENTO!$R$15:$R$44,MATCH($A19,ORÇAMENTO!$E$15:$E$44,0)),""))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IF($B19="Branco",0,IF(OR($B19="Manual",$B19="SemiAuto"),QCI.InvManual,INDEX(ORÇAMENTO!X$15:X$44,MATCH($A19,ORÇAMENTO!$E$15:$E$44,0))))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IF($B19="Branco",0,IF($B19="Manual",QCI.CPManual,IF($B19="SemiAuto",ROUND(QCI!$AA$3*QCI.InvManual,2),INDEX(ORÇAMENTO!$AA$15:$AA$44,MATCH($A19,ORÇAMENTO!$E$15:$E$44,0)))))</f>
        <v>0</v>
      </c>
      <c r="AB19" cm="1">
        <f t="array" aca="1" ref="AB19" ca="1">IF($B19="Branco",0,IF($B19="Manual",QCI.OutrosManual,IF($B19="SemiAuto",0,INDEX(ORÇAMENTO!$AB$15:$AB$44,MATCH($A19,ORÇAMENTO!$E$15:$E$44,0)))))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IF(NOT(ISBLANK(QCI.DescManual)),IF(QCI.Divisao="Calculado","Manual","SemiAuto"),IF(ISERROR(MATCH($A20,ORÇAMENTO!$E$15:$E$44,0)),"Branco","Automático"))</f>
        <v>Branco</v>
      </c>
      <c r="C20" t="str">
        <f t="shared" ca="1" si="1"/>
        <v/>
      </c>
      <c r="D20" s="281">
        <f t="shared" si="2"/>
        <v>7</v>
      </c>
      <c r="E20" s="118"/>
      <c r="F20" s="118"/>
      <c r="G20" s="163" t="str">
        <f ca="1">IF(OR($B20="Manual",$B20="SemiAuto"),QCI.DescManual,IF($B20="Automático",INDEX(ORÇAMENTO!$R$15:$R$44,MATCH($A20,ORÇAMENTO!$E$15:$E$44,0)),""))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IF($B20="Branco",0,IF(OR($B20="Manual",$B20="SemiAuto"),QCI.InvManual,INDEX(ORÇAMENTO!X$15:X$44,MATCH($A20,ORÇAMENTO!$E$15:$E$44,0))))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IF($B20="Branco",0,IF($B20="Manual",QCI.CPManual,IF($B20="SemiAuto",ROUND(QCI!$AA$3*QCI.InvManual,2),INDEX(ORÇAMENTO!$AA$15:$AA$44,MATCH($A20,ORÇAMENTO!$E$15:$E$44,0)))))</f>
        <v>0</v>
      </c>
      <c r="AB20" cm="1">
        <f t="array" aca="1" ref="AB20" ca="1">IF($B20="Branco",0,IF($B20="Manual",QCI.OutrosManual,IF($B20="SemiAuto",0,INDEX(ORÇAMENTO!$AB$15:$AB$44,MATCH($A20,ORÇAMENTO!$E$15:$E$44,0)))))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IF(NOT(ISBLANK(QCI.DescManual)),IF(QCI.Divisao="Calculado","Manual","SemiAuto"),IF(ISERROR(MATCH($A21,ORÇAMENTO!$E$15:$E$44,0)),"Branco","Automático"))</f>
        <v>Branco</v>
      </c>
      <c r="C21" t="str">
        <f t="shared" ca="1" si="1"/>
        <v/>
      </c>
      <c r="D21" s="281">
        <f t="shared" si="2"/>
        <v>8</v>
      </c>
      <c r="E21" s="118"/>
      <c r="F21" s="118"/>
      <c r="G21" s="163" t="str">
        <f ca="1">IF(OR($B21="Manual",$B21="SemiAuto"),QCI.DescManual,IF($B21="Automático",INDEX(ORÇAMENTO!$R$15:$R$44,MATCH($A21,ORÇAMENTO!$E$15:$E$44,0)),""))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IF($B21="Branco",0,IF(OR($B21="Manual",$B21="SemiAuto"),QCI.InvManual,INDEX(ORÇAMENTO!X$15:X$44,MATCH($A21,ORÇAMENTO!$E$15:$E$44,0))))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IF($B21="Branco",0,IF($B21="Manual",QCI.CPManual,IF($B21="SemiAuto",ROUND(QCI!$AA$3*QCI.InvManual,2),INDEX(ORÇAMENTO!$AA$15:$AA$44,MATCH($A21,ORÇAMENTO!$E$15:$E$44,0)))))</f>
        <v>0</v>
      </c>
      <c r="AB21" cm="1">
        <f t="array" aca="1" ref="AB21" ca="1">IF($B21="Branco",0,IF($B21="Manual",QCI.OutrosManual,IF($B21="SemiAuto",0,INDEX(ORÇAMENTO!$AB$15:$AB$44,MATCH($A21,ORÇAMENTO!$E$15:$E$44,0)))))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IF(NOT(ISBLANK(QCI.DescManual)),IF(QCI.Divisao="Calculado","Manual","SemiAuto"),IF(ISERROR(MATCH($A22,ORÇAMENTO!$E$15:$E$44,0)),"Branco","Automático"))</f>
        <v>Branco</v>
      </c>
      <c r="C22" t="str">
        <f t="shared" ca="1" si="1"/>
        <v/>
      </c>
      <c r="D22" s="281">
        <f t="shared" si="2"/>
        <v>9</v>
      </c>
      <c r="E22" s="118"/>
      <c r="F22" s="118"/>
      <c r="G22" s="163" t="str">
        <f ca="1">IF(OR($B22="Manual",$B22="SemiAuto"),QCI.DescManual,IF($B22="Automático",INDEX(ORÇAMENTO!$R$15:$R$44,MATCH($A22,ORÇAMENTO!$E$15:$E$44,0)),""))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IF($B22="Branco",0,IF(OR($B22="Manual",$B22="SemiAuto"),QCI.InvManual,INDEX(ORÇAMENTO!X$15:X$44,MATCH($A22,ORÇAMENTO!$E$15:$E$44,0))))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IF($B22="Branco",0,IF($B22="Manual",QCI.CPManual,IF($B22="SemiAuto",ROUND(QCI!$AA$3*QCI.InvManual,2),INDEX(ORÇAMENTO!$AA$15:$AA$44,MATCH($A22,ORÇAMENTO!$E$15:$E$44,0)))))</f>
        <v>0</v>
      </c>
      <c r="AB22" cm="1">
        <f t="array" aca="1" ref="AB22" ca="1">IF($B22="Branco",0,IF($B22="Manual",QCI.OutrosManual,IF($B22="SemiAuto",0,INDEX(ORÇAMENTO!$AB$15:$AB$44,MATCH($A22,ORÇAMENTO!$E$15:$E$44,0)))))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IF(NOT(ISBLANK(QCI.DescManual)),IF(QCI.Divisao="Calculado","Manual","SemiAuto"),IF(ISERROR(MATCH($A23,ORÇAMENTO!$E$15:$E$44,0)),"Branco","Automático"))</f>
        <v>Branco</v>
      </c>
      <c r="C23" t="str">
        <f ca="1">IF(O23&gt;0,"F","")</f>
        <v/>
      </c>
      <c r="D23" s="281">
        <f>ROW()-ROW($D$13)</f>
        <v>10</v>
      </c>
      <c r="E23" s="118"/>
      <c r="F23" s="118"/>
      <c r="G23" s="163" t="str">
        <f ca="1">IF(OR($B23="Manual",$B23="SemiAuto"),QCI.DescManual,IF($B23="Automático",INDEX(ORÇAMENTO!$R$15:$R$44,MATCH($A23,ORÇAMENTO!$E$15:$E$44,0)),""))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IF($B23="Branco",0,IF(OR($B23="Manual",$B23="SemiAuto"),QCI.InvManual,INDEX(ORÇAMENTO!X$15:X$44,MATCH($A23,ORÇAMENTO!$E$15:$E$44,0))))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IF($B23="Branco",0,IF($B23="Manual",QCI.CPManual,IF($B23="SemiAuto",ROUND(QCI!$AA$3*QCI.InvManual,2),INDEX(ORÇAMENTO!$AA$15:$AA$44,MATCH($A23,ORÇAMENTO!$E$15:$E$44,0)))))</f>
        <v>0</v>
      </c>
      <c r="AB23" cm="1">
        <f t="array" aca="1" ref="AB23" ca="1">IF($B23="Branco",0,IF($B23="Manual",QCI.OutrosManual,IF($B23="SemiAuto",0,INDEX(ORÇAMENTO!$AB$15:$AB$44,MATCH($A23,ORÇAMENTO!$E$15:$E$44,0)))))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1" t="s">
        <v>830</v>
      </c>
      <c r="L24" s="296">
        <f ca="1">SUM(L13:OFFSET(L24,-1,0))</f>
        <v>389863</v>
      </c>
      <c r="M24" s="297">
        <f ca="1">SUM(M13:OFFSET(M24,-1,0))</f>
        <v>34626.11</v>
      </c>
      <c r="N24" s="298">
        <f ca="1">SUM(N13:OFFSET(N24,-1,0))</f>
        <v>0</v>
      </c>
      <c r="O24" s="299">
        <f ca="1">SUM(O13:OFFSET(O24,-1,0))</f>
        <v>424489.11</v>
      </c>
      <c r="R24" s="300"/>
      <c r="T24" s="301"/>
      <c r="U24" s="302"/>
      <c r="V24" s="303"/>
      <c r="W24" s="304"/>
      <c r="X24" s="305"/>
      <c r="Z24" s="88">
        <f ca="1">SUMPRODUCT(ROUND(Z13:OFFSET(Z24,-1,0),2))</f>
        <v>389863</v>
      </c>
      <c r="AA24" s="88">
        <f ca="1">SUMPRODUCT(ROUND(AA13:OFFSET(AA24,-1,0),2))</f>
        <v>34626.11</v>
      </c>
      <c r="AB24" s="88">
        <f ca="1">SUM(AB13:OFFSET(AB24,-1,0))</f>
        <v>0</v>
      </c>
    </row>
    <row r="25" spans="1:31" x14ac:dyDescent="0.2">
      <c r="B25" t="s">
        <v>831</v>
      </c>
      <c r="C25" t="s">
        <v>536</v>
      </c>
      <c r="D25" s="306"/>
      <c r="E25" s="307"/>
      <c r="F25" s="307"/>
      <c r="G25" s="307"/>
      <c r="H25" s="307"/>
      <c r="I25" s="307"/>
      <c r="J25" s="307"/>
      <c r="K25" s="781"/>
      <c r="L25" s="308">
        <f ca="1">IF(ISERROR(L24/$O24),0,ROUND(L24/$O24,4))</f>
        <v>0.91839999999999999</v>
      </c>
      <c r="M25" s="309">
        <f ca="1">IF(ISERROR(M24/$O24),0,ROUND(M24/$O24,4))</f>
        <v>8.1600000000000006E-2</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15"/>
      <c r="E28" s="715"/>
      <c r="F28" s="715"/>
      <c r="G28" s="715"/>
      <c r="H28" s="715"/>
      <c r="I28" s="715"/>
      <c r="J28" s="715"/>
      <c r="K28" s="715"/>
      <c r="L28" s="715"/>
      <c r="M28" s="715"/>
      <c r="N28" s="715"/>
      <c r="O28" s="715"/>
    </row>
    <row r="29" spans="1:31" ht="12.75" customHeight="1" x14ac:dyDescent="0.2">
      <c r="D29" s="715"/>
      <c r="E29" s="715"/>
      <c r="F29" s="715"/>
      <c r="G29" s="715"/>
      <c r="H29" s="715"/>
      <c r="I29" s="715"/>
      <c r="J29" s="715"/>
      <c r="K29" s="715"/>
      <c r="L29" s="715"/>
      <c r="M29" s="715"/>
      <c r="N29" s="715"/>
      <c r="O29" s="715"/>
    </row>
    <row r="30" spans="1:31" ht="12.75" customHeight="1" x14ac:dyDescent="0.2">
      <c r="D30" s="715"/>
      <c r="E30" s="715"/>
      <c r="F30" s="715"/>
      <c r="G30" s="715"/>
      <c r="H30" s="715"/>
      <c r="I30" s="715"/>
      <c r="J30" s="715"/>
      <c r="K30" s="715"/>
      <c r="L30" s="715"/>
      <c r="M30" s="715"/>
      <c r="N30" s="715"/>
      <c r="O30" s="715"/>
    </row>
    <row r="33" spans="4:12" ht="15" x14ac:dyDescent="0.2">
      <c r="D33" s="717" t="str">
        <f>Import.Município</f>
        <v>Ivorá/RS</v>
      </c>
      <c r="E33" s="717"/>
      <c r="F33" s="717"/>
      <c r="I33" s="139"/>
      <c r="J33" s="139"/>
      <c r="K33" s="180"/>
      <c r="L33" s="180"/>
    </row>
    <row r="34" spans="4:12" x14ac:dyDescent="0.2">
      <c r="D34" s="9" t="s">
        <v>693</v>
      </c>
      <c r="I34" s="181" t="s">
        <v>832</v>
      </c>
      <c r="J34" s="181"/>
    </row>
    <row r="35" spans="4:12" x14ac:dyDescent="0.2">
      <c r="I35" s="77" t="str">
        <f>"Nome:" &amp;  " " &amp; DADOS!C28</f>
        <v>Nome: Josemar Zorzi Osmari</v>
      </c>
    </row>
    <row r="36" spans="4:12" x14ac:dyDescent="0.2">
      <c r="D36" s="711">
        <f>DADOS!$C$25</f>
        <v>46169</v>
      </c>
      <c r="E36" s="711"/>
      <c r="F36" s="711"/>
      <c r="I36" s="77" t="str">
        <f>"Cargo:"  &amp; " " &amp; DADOS!C29</f>
        <v>Cargo: Prefeito</v>
      </c>
    </row>
    <row r="37" spans="4:12" x14ac:dyDescent="0.2">
      <c r="D37" s="140" t="s">
        <v>694</v>
      </c>
      <c r="E37" s="1"/>
      <c r="F37" s="1"/>
      <c r="K37" s="77"/>
      <c r="L37" s="78"/>
    </row>
  </sheetData>
  <sheetProtection algorithmName="SHA-512" hashValue="hxqA+MiadjsIWrxGa2AXXM6ZqC4Zs+THsJtJOCuTms41oUwTvFk0oxP1SWbqgdzFrKo5Y4yFPagNXQK4JZ8Hdw==" saltValue="PfoulyGvEvIuBKyvyil8tg=="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53" priority="961" stopIfTrue="1">
      <formula>OR($B12="Automático",$B12="Branco")</formula>
    </cfRule>
  </conditionalFormatting>
  <conditionalFormatting sqref="L12">
    <cfRule type="expression" dxfId="15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51" priority="963" stopIfTrue="1">
      <formula>OR($B12="Automático",$B12="Branco",$V12&lt;&gt;"Calculado")</formula>
    </cfRule>
  </conditionalFormatting>
  <conditionalFormatting sqref="M25">
    <cfRule type="expression" dxfId="150" priority="965" stopIfTrue="1">
      <formula>AND($G$9&lt;&gt;"",OR($M$25&lt;Import.CPMinPerc,$M$25&gt;Import.CPMaxPerc))</formula>
    </cfRule>
  </conditionalFormatting>
  <conditionalFormatting sqref="M24">
    <cfRule type="expression" dxfId="149" priority="966" stopIfTrue="1">
      <formula>AND($G$9&lt;&gt;"",$M$24&lt;Import.CPMinAbsoluta)</formula>
    </cfRule>
  </conditionalFormatting>
  <conditionalFormatting sqref="L10:M10">
    <cfRule type="cellIs" dxfId="148" priority="967" stopIfTrue="1" operator="lessThan">
      <formula>0</formula>
    </cfRule>
  </conditionalFormatting>
  <conditionalFormatting sqref="G12">
    <cfRule type="cellIs" dxfId="147" priority="968" stopIfTrue="1" operator="equal">
      <formula>"(digite a descrição aqui)"</formula>
    </cfRule>
  </conditionalFormatting>
  <conditionalFormatting sqref="T14:V22">
    <cfRule type="expression" dxfId="146" priority="5" stopIfTrue="1">
      <formula>OR($B14="Automático",$B14="Branco")</formula>
    </cfRule>
  </conditionalFormatting>
  <conditionalFormatting sqref="L14:L22">
    <cfRule type="expression" dxfId="14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44" priority="7" stopIfTrue="1">
      <formula>OR($B14="Automático",$B14="Branco",$V14&lt;&gt;"Calculado")</formula>
    </cfRule>
  </conditionalFormatting>
  <conditionalFormatting sqref="G14:G22">
    <cfRule type="cellIs" dxfId="143" priority="8" stopIfTrue="1" operator="equal">
      <formula>"(digite a descrição aqui)"</formula>
    </cfRule>
  </conditionalFormatting>
  <conditionalFormatting sqref="T23:V23">
    <cfRule type="expression" dxfId="142" priority="1" stopIfTrue="1">
      <formula>OR($B23="Automático",$B23="Branco")</formula>
    </cfRule>
  </conditionalFormatting>
  <conditionalFormatting sqref="L23">
    <cfRule type="expression" dxfId="14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40" priority="3" stopIfTrue="1">
      <formula>OR($B23="Automático",$B23="Branco",$V23&lt;&gt;"Calculado")</formula>
    </cfRule>
  </conditionalFormatting>
  <conditionalFormatting sqref="G23">
    <cfRule type="cellIs" dxfId="13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5" t="e">
        <f ca="1">IF(AUTOEVENTO="Manual",OFFSET(EVENTOS!$D$15,$B1-$B$15,0),IF(B1&lt;=MAX(CÁLCULO!$M$15:$M$44),VLOOKUP($B1,CÁLCULO!$M$15:$N$44,2,FALSE),0))</f>
        <v>#REF!</v>
      </c>
      <c r="D1" s="785"/>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2" t="s">
        <v>644</v>
      </c>
      <c r="AE3" s="682"/>
      <c r="AF3" s="682"/>
    </row>
    <row r="4" spans="1:33" ht="15.75" x14ac:dyDescent="0.2">
      <c r="B4" s="82"/>
      <c r="C4" s="82"/>
      <c r="H4" s="83" t="str">
        <f>import.recurso</f>
        <v>OGU</v>
      </c>
      <c r="AD4" s="683" t="s">
        <v>647</v>
      </c>
      <c r="AE4" s="683"/>
      <c r="AF4" s="683"/>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4" t="str" cm="1">
        <f t="array" ref="AE6">IF(TIPOORCAMENTO="Licitado","Nº CTEF","")</f>
        <v/>
      </c>
      <c r="AF6" s="794"/>
    </row>
    <row r="7" spans="1:33" x14ac:dyDescent="0.2">
      <c r="B7" s="764" t="str">
        <f>Import.CR</f>
        <v>984561-2025</v>
      </c>
      <c r="C7" s="764"/>
      <c r="D7" s="214" t="str">
        <f>Import.TransfereGOV</f>
        <v>984561</v>
      </c>
      <c r="E7" s="42"/>
      <c r="H7" s="774" t="str">
        <f>Import.Proponente</f>
        <v>Município de Ivorá</v>
      </c>
      <c r="I7" s="774"/>
      <c r="J7" s="774"/>
      <c r="K7" s="774"/>
      <c r="L7" s="774"/>
      <c r="M7" s="774"/>
      <c r="N7" s="774"/>
      <c r="O7" s="764" t="str">
        <f>Import.Apelido</f>
        <v>Pavimentação Rua Padre Pedro Marcelino Copetti</v>
      </c>
      <c r="P7" s="764"/>
      <c r="Q7" s="764"/>
      <c r="R7" s="764"/>
      <c r="S7" s="764"/>
      <c r="T7" s="764"/>
      <c r="U7" s="764"/>
      <c r="V7" s="764" t="str" cm="1">
        <f t="array" ref="V7">IF(TIPOORCAMENTO="Licitado",Import.empresa,Import.DescLote)</f>
        <v>Pavimentação Asfáltica Rua Padre Pedro Marcelino Copetti</v>
      </c>
      <c r="W7" s="764"/>
      <c r="X7" s="764"/>
      <c r="Y7" s="764"/>
      <c r="Z7" s="764"/>
      <c r="AA7" s="764"/>
      <c r="AB7" s="764"/>
      <c r="AC7" s="764"/>
      <c r="AD7" s="764"/>
      <c r="AE7" s="795" t="str" cm="1">
        <f t="array" ref="AE7">IF(TIPOORCAMENTO="Licitado",Import.CTEF,"")</f>
        <v/>
      </c>
      <c r="AF7" s="795"/>
      <c r="AG7" s="265"/>
    </row>
    <row r="9" spans="1:33" ht="15.75" x14ac:dyDescent="0.25">
      <c r="A9" s="165">
        <v>0</v>
      </c>
      <c r="B9" s="266"/>
      <c r="C9" s="266"/>
      <c r="I9" s="267" t="s">
        <v>834</v>
      </c>
      <c r="J9" s="797">
        <v>1</v>
      </c>
      <c r="K9" s="797"/>
      <c r="M9" s="267" t="s">
        <v>799</v>
      </c>
      <c r="N9" s="798" t="str">
        <f ca="1">TEXT(IF(PLE.Medicao=1,Import.DataInicioObra,OFFSET($H$68,0,1+(PLE.Medicao-$I$69)*2-2)+1),"dd/mm/aaaa")&amp;" a "&amp;TEXT(OFFSET($H$68,0,1+(PLE.Medicao-$I$69)*2),"dd/mm/aaaa")</f>
        <v>00/01/1900 a 00/01/1900</v>
      </c>
      <c r="O9" s="798"/>
      <c r="P9" s="798"/>
      <c r="Q9" s="798"/>
      <c r="R9" s="798"/>
      <c r="S9" s="798"/>
      <c r="T9" s="798"/>
      <c r="U9" s="268"/>
      <c r="X9" s="267" t="s">
        <v>835</v>
      </c>
      <c r="Y9" s="796">
        <f ca="1">OFFSET($I$69,1+8*(ROUNDUP(($J$9-0)/((COLUMN($AG$14)-COLUMN($G$14)-1)/25*12),0)-1),ROUNDDOWN((($J$9-0)-OFFSET($I$69,8*(ROUNDUP(($J$9-0)/((COLUMN($AG$14)-COLUMN($G$14)-1)/25*12),0)-1),0))*(2+1/12),0))</f>
        <v>0</v>
      </c>
      <c r="Z9" s="796"/>
      <c r="AD9" s="267" t="s">
        <v>836</v>
      </c>
      <c r="AE9" s="796">
        <f ca="1">OFFSET($I$69,3+8*(ROUNDUP(($J$9-0)/((COLUMN($AG$14)-COLUMN($G$14)-1)/25*12),0)-1),ROUNDDOWN((($J$9-0)-OFFSET($I$69,8*(ROUNDUP(($J$9-0)/((COLUMN($AG$14)-COLUMN($G$14)-1)/25*12),0)-1),0))*(2+1/12),0))</f>
        <v>0</v>
      </c>
      <c r="AF9" s="796"/>
    </row>
    <row r="11" spans="1:33" ht="65.25" customHeight="1" x14ac:dyDescent="0.2">
      <c r="A11" s="250" t="s">
        <v>837</v>
      </c>
      <c r="C11" s="799"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9"/>
      <c r="F11" s="252" t="str" cm="1">
        <f t="array" aca="1" ref="F11" ca="1">IF(F$12&gt;CÁLCULO.NúmeroDeFrentes,"",OFFSET(CÁLCULO!$P$12,0,F$12))</f>
        <v>Mês 1</v>
      </c>
      <c r="H11" s="252" t="str" cm="1">
        <f t="array" aca="1" ref="H11" ca="1">IF(H$12&gt;CÁLCULO.NúmeroDeFrentes,"",OFFSET(CÁLCULO!$P$12,0,H$12))</f>
        <v>Mês 1</v>
      </c>
      <c r="I11" s="252" t="str" cm="1">
        <f t="array" aca="1" ref="I11" ca="1">IF(I$12&gt;CÁLCULO.NúmeroDeFrentes,"",OFFSET(CÁLCULO!$P$12,0,I$12))</f>
        <v>Mês 2</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60" t="s">
        <v>760</v>
      </c>
      <c r="C12" s="760" t="s">
        <v>778</v>
      </c>
      <c r="D12" s="760"/>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60"/>
      <c r="C13" s="760"/>
      <c r="D13" s="760"/>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3" t="str">
        <f>EVENTOS!$D$15</f>
        <v/>
      </c>
      <c r="D15" s="793"/>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85" t="str">
        <f ca="1">IF(AUTOEVENTO="Manual",OFFSET(EVENTOS!$D$15,$B16-$B$15,0),IF(B16&lt;=MAX(CÁLCULO!$M$15:$M$44),VLOOKUP($B16,CÁLCULO!$M$15:$N$44,2,FALSE),0))</f>
        <v>Serviços Preliminares</v>
      </c>
      <c r="D16" s="785"/>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85" t="str">
        <f ca="1">IF(AUTOEVENTO="Manual",OFFSET(EVENTOS!$D$15,$B17-$B$15,0),IF(B17&lt;=MAX(CÁLCULO!$M$15:$M$44),VLOOKUP($B17,CÁLCULO!$M$15:$N$44,2,FALSE),0))</f>
        <v>Administração Local</v>
      </c>
      <c r="D17" s="785"/>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85" t="str">
        <f ca="1">IF(AUTOEVENTO="Manual",OFFSET(EVENTOS!$D$15,$B18-$B$15,0),IF(B18&lt;=MAX(CÁLCULO!$M$15:$M$44),VLOOKUP($B18,CÁLCULO!$M$15:$N$44,2,FALSE),0))</f>
        <v>Terraplenagem</v>
      </c>
      <c r="D18" s="785"/>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5" t="str">
        <f ca="1">IF(AUTOEVENTO="Manual",OFFSET(EVENTOS!$D$15,$B19-$B$15,0),IF(B19&lt;=MAX(CÁLCULO!$M$15:$M$44),VLOOKUP($B19,CÁLCULO!$M$15:$N$44,2,FALSE),0))</f>
        <v xml:space="preserve">Pavimentação </v>
      </c>
      <c r="D19" s="785"/>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85" t="str">
        <f ca="1">IF(AUTOEVENTO="Manual",OFFSET(EVENTOS!$D$15,$B20-$B$15,0),IF(B20&lt;=MAX(CÁLCULO!$M$15:$M$44),VLOOKUP($B20,CÁLCULO!$M$15:$N$44,2,FALSE),0))</f>
        <v>Materiais Asfálticos BDI 15,00%</v>
      </c>
      <c r="D20" s="785"/>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85" t="str">
        <f ca="1">IF(AUTOEVENTO="Manual",OFFSET(EVENTOS!$D$15,$B21-$B$15,0),IF(B21&lt;=MAX(CÁLCULO!$M$15:$M$44),VLOOKUP($B21,CÁLCULO!$M$15:$N$44,2,FALSE),0))</f>
        <v>Sinalização Viária</v>
      </c>
      <c r="D21" s="785"/>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
      </c>
      <c r="B22" s="247">
        <f t="shared" ca="1" si="2"/>
        <v>7</v>
      </c>
      <c r="C22" s="785">
        <f ca="1">IF(AUTOEVENTO="Manual",OFFSET(EVENTOS!$D$15,$B22-$B$15,0),IF(B22&lt;=MAX(CÁLCULO!$M$15:$M$44),VLOOKUP($B22,CÁLCULO!$M$15:$N$44,2,FALSE),0))</f>
        <v>0</v>
      </c>
      <c r="D22" s="785"/>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
      </c>
      <c r="B23" s="247">
        <f t="shared" ca="1" si="2"/>
        <v>8</v>
      </c>
      <c r="C23" s="785">
        <f ca="1">IF(AUTOEVENTO="Manual",OFFSET(EVENTOS!$D$15,$B23-$B$15,0),IF(B23&lt;=MAX(CÁLCULO!$M$15:$M$44),VLOOKUP($B23,CÁLCULO!$M$15:$N$44,2,FALSE),0))</f>
        <v>0</v>
      </c>
      <c r="D23" s="785"/>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
      </c>
      <c r="B24" s="247">
        <f t="shared" ca="1" si="2"/>
        <v>9</v>
      </c>
      <c r="C24" s="785">
        <f ca="1">IF(AUTOEVENTO="Manual",OFFSET(EVENTOS!$D$15,$B24-$B$15,0),IF(B24&lt;=MAX(CÁLCULO!$M$15:$M$44),VLOOKUP($B24,CÁLCULO!$M$15:$N$44,2,FALSE),0))</f>
        <v>0</v>
      </c>
      <c r="D24" s="785"/>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
      </c>
      <c r="B25" s="247">
        <f t="shared" ca="1" si="2"/>
        <v>10</v>
      </c>
      <c r="C25" s="785">
        <f ca="1">IF(AUTOEVENTO="Manual",OFFSET(EVENTOS!$D$15,$B25-$B$15,0),IF(B25&lt;=MAX(CÁLCULO!$M$15:$M$44),VLOOKUP($B25,CÁLCULO!$M$15:$N$44,2,FALSE),0))</f>
        <v>0</v>
      </c>
      <c r="D25" s="785"/>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
      </c>
      <c r="B26" s="247">
        <f t="shared" ca="1" si="2"/>
        <v>11</v>
      </c>
      <c r="C26" s="785">
        <f ca="1">IF(AUTOEVENTO="Manual",OFFSET(EVENTOS!$D$15,$B26-$B$15,0),IF(B26&lt;=MAX(CÁLCULO!$M$15:$M$44),VLOOKUP($B26,CÁLCULO!$M$15:$N$44,2,FALSE),0))</f>
        <v>0</v>
      </c>
      <c r="D26" s="785"/>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
      </c>
      <c r="B27" s="247">
        <f t="shared" ca="1" si="2"/>
        <v>12</v>
      </c>
      <c r="C27" s="785">
        <f ca="1">IF(AUTOEVENTO="Manual",OFFSET(EVENTOS!$D$15,$B27-$B$15,0),IF(B27&lt;=MAX(CÁLCULO!$M$15:$M$44),VLOOKUP($B27,CÁLCULO!$M$15:$N$44,2,FALSE),0))</f>
        <v>0</v>
      </c>
      <c r="D27" s="785"/>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85">
        <f ca="1">IF(AUTOEVENTO="Manual",OFFSET(EVENTOS!$D$15,$B28-$B$15,0),IF(B28&lt;=MAX(CÁLCULO!$M$15:$M$44),VLOOKUP($B28,CÁLCULO!$M$15:$N$44,2,FALSE),0))</f>
        <v>0</v>
      </c>
      <c r="D28" s="785"/>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85">
        <f ca="1">IF(AUTOEVENTO="Manual",OFFSET(EVENTOS!$D$15,$B29-$B$15,0),IF(B29&lt;=MAX(CÁLCULO!$M$15:$M$44),VLOOKUP($B29,CÁLCULO!$M$15:$N$44,2,FALSE),0))</f>
        <v>0</v>
      </c>
      <c r="D29" s="785"/>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85">
        <f ca="1">IF(AUTOEVENTO="Manual",OFFSET(EVENTOS!$D$15,$B30-$B$15,0),IF(B30&lt;=MAX(CÁLCULO!$M$15:$M$44),VLOOKUP($B30,CÁLCULO!$M$15:$N$44,2,FALSE),0))</f>
        <v>0</v>
      </c>
      <c r="D30" s="785"/>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85">
        <f ca="1">IF(AUTOEVENTO="Manual",OFFSET(EVENTOS!$D$15,$B31-$B$15,0),IF(B31&lt;=MAX(CÁLCULO!$M$15:$M$44),VLOOKUP($B31,CÁLCULO!$M$15:$N$44,2,FALSE),0))</f>
        <v>0</v>
      </c>
      <c r="D31" s="785"/>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85">
        <f ca="1">IF(AUTOEVENTO="Manual",OFFSET(EVENTOS!$D$15,$B32-$B$15,0),IF(B32&lt;=MAX(CÁLCULO!$M$15:$M$44),VLOOKUP($B32,CÁLCULO!$M$15:$N$44,2,FALSE),0))</f>
        <v>0</v>
      </c>
      <c r="D32" s="785"/>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85">
        <f ca="1">IF(AUTOEVENTO="Manual",OFFSET(EVENTOS!$D$15,$B33-$B$15,0),IF(B33&lt;=MAX(CÁLCULO!$M$15:$M$44),VLOOKUP($B33,CÁLCULO!$M$15:$N$44,2,FALSE),0))</f>
        <v>0</v>
      </c>
      <c r="D33" s="785"/>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85">
        <f ca="1">IF(AUTOEVENTO="Manual",OFFSET(EVENTOS!$D$15,$B34-$B$15,0),IF(B34&lt;=MAX(CÁLCULO!$M$15:$M$44),VLOOKUP($B34,CÁLCULO!$M$15:$N$44,2,FALSE),0))</f>
        <v>0</v>
      </c>
      <c r="D34" s="785"/>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85">
        <f ca="1">IF(AUTOEVENTO="Manual",OFFSET(EVENTOS!$D$15,$B35-$B$15,0),IF(B35&lt;=MAX(CÁLCULO!$M$15:$M$44),VLOOKUP($B35,CÁLCULO!$M$15:$N$44,2,FALSE),0))</f>
        <v>0</v>
      </c>
      <c r="D35" s="785"/>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85">
        <f ca="1">IF(AUTOEVENTO="Manual",OFFSET(EVENTOS!$D$15,$B36-$B$15,0),IF(B36&lt;=MAX(CÁLCULO!$M$15:$M$44),VLOOKUP($B36,CÁLCULO!$M$15:$N$44,2,FALSE),0))</f>
        <v>0</v>
      </c>
      <c r="D36" s="785"/>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85">
        <f ca="1">IF(AUTOEVENTO="Manual",OFFSET(EVENTOS!$D$15,$B37-$B$15,0),IF(B37&lt;=MAX(CÁLCULO!$M$15:$M$44),VLOOKUP($B37,CÁLCULO!$M$15:$N$44,2,FALSE),0))</f>
        <v>0</v>
      </c>
      <c r="D37" s="785"/>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85">
        <f ca="1">IF(AUTOEVENTO="Manual",OFFSET(EVENTOS!$D$15,$B38-$B$15,0),IF(B38&lt;=MAX(CÁLCULO!$M$15:$M$44),VLOOKUP($B38,CÁLCULO!$M$15:$N$44,2,FALSE),0))</f>
        <v>0</v>
      </c>
      <c r="D38" s="785"/>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85">
        <f ca="1">IF(AUTOEVENTO="Manual",OFFSET(EVENTOS!$D$15,$B39-$B$15,0),IF(B39&lt;=MAX(CÁLCULO!$M$15:$M$44),VLOOKUP($B39,CÁLCULO!$M$15:$N$44,2,FALSE),0))</f>
        <v>0</v>
      </c>
      <c r="D39" s="785"/>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85">
        <f ca="1">IF(AUTOEVENTO="Manual",OFFSET(EVENTOS!$D$15,$B40-$B$15,0),IF(B40&lt;=MAX(CÁLCULO!$M$15:$M$44),VLOOKUP($B40,CÁLCULO!$M$15:$N$44,2,FALSE),0))</f>
        <v>0</v>
      </c>
      <c r="D40" s="785"/>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85">
        <f ca="1">IF(AUTOEVENTO="Manual",OFFSET(EVENTOS!$D$15,$B41-$B$15,0),IF(B41&lt;=MAX(CÁLCULO!$M$15:$M$44),VLOOKUP($B41,CÁLCULO!$M$15:$N$44,2,FALSE),0))</f>
        <v>0</v>
      </c>
      <c r="D41" s="785"/>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85">
        <f ca="1">IF(AUTOEVENTO="Manual",OFFSET(EVENTOS!$D$15,$B42-$B$15,0),IF(B42&lt;=MAX(CÁLCULO!$M$15:$M$44),VLOOKUP($B42,CÁLCULO!$M$15:$N$44,2,FALSE),0))</f>
        <v>0</v>
      </c>
      <c r="D42" s="785"/>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85">
        <f ca="1">IF(AUTOEVENTO="Manual",OFFSET(EVENTOS!$D$15,$B43-$B$15,0),IF(B43&lt;=MAX(CÁLCULO!$M$15:$M$44),VLOOKUP($B43,CÁLCULO!$M$15:$N$44,2,FALSE),0))</f>
        <v>0</v>
      </c>
      <c r="D43" s="785"/>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85">
        <f ca="1">IF(AUTOEVENTO="Manual",OFFSET(EVENTOS!$D$15,$B44-$B$15,0),IF(B44&lt;=MAX(CÁLCULO!$M$15:$M$44),VLOOKUP($B44,CÁLCULO!$M$15:$N$44,2,FALSE),0))</f>
        <v>0</v>
      </c>
      <c r="D44" s="785"/>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85">
        <f ca="1">IF(AUTOEVENTO="Manual",OFFSET(EVENTOS!$D$15,$B45-$B$15,0),IF(B45&lt;=MAX(CÁLCULO!$M$15:$M$44),VLOOKUP($B45,CÁLCULO!$M$15:$N$44,2,FALSE),0))</f>
        <v>0</v>
      </c>
      <c r="D45" s="785"/>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85">
        <f ca="1">IF(AUTOEVENTO="Manual",OFFSET(EVENTOS!$D$15,$B46-$B$15,0),IF(B46&lt;=MAX(CÁLCULO!$M$15:$M$44),VLOOKUP($B46,CÁLCULO!$M$15:$N$44,2,FALSE),0))</f>
        <v>0</v>
      </c>
      <c r="D46" s="785"/>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85">
        <f ca="1">IF(AUTOEVENTO="Manual",OFFSET(EVENTOS!$D$15,$B47-$B$15,0),IF(B47&lt;=MAX(CÁLCULO!$M$15:$M$44),VLOOKUP($B47,CÁLCULO!$M$15:$N$44,2,FALSE),0))</f>
        <v>0</v>
      </c>
      <c r="D47" s="785"/>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85">
        <f ca="1">IF(AUTOEVENTO="Manual",OFFSET(EVENTOS!$D$15,$B48-$B$15,0),IF(B48&lt;=MAX(CÁLCULO!$M$15:$M$44),VLOOKUP($B48,CÁLCULO!$M$15:$N$44,2,FALSE),0))</f>
        <v>0</v>
      </c>
      <c r="D48" s="785"/>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85">
        <f ca="1">IF(AUTOEVENTO="Manual",OFFSET(EVENTOS!$D$15,$B49-$B$15,0),IF(B49&lt;=MAX(CÁLCULO!$M$15:$M$44),VLOOKUP($B49,CÁLCULO!$M$15:$N$44,2,FALSE),0))</f>
        <v>0</v>
      </c>
      <c r="D49" s="785"/>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85">
        <f ca="1">IF(AUTOEVENTO="Manual",OFFSET(EVENTOS!$D$15,$B50-$B$15,0),IF(B50&lt;=MAX(CÁLCULO!$M$15:$M$44),VLOOKUP($B50,CÁLCULO!$M$15:$N$44,2,FALSE),0))</f>
        <v>0</v>
      </c>
      <c r="D50" s="785"/>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85">
        <f ca="1">IF(AUTOEVENTO="Manual",OFFSET(EVENTOS!$D$15,$B51-$B$15,0),IF(B51&lt;=MAX(CÁLCULO!$M$15:$M$44),VLOOKUP($B51,CÁLCULO!$M$15:$N$44,2,FALSE),0))</f>
        <v>0</v>
      </c>
      <c r="D51" s="785"/>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85">
        <f ca="1">IF(AUTOEVENTO="Manual",OFFSET(EVENTOS!$D$15,$B52-$B$15,0),IF(B52&lt;=MAX(CÁLCULO!$M$15:$M$44),VLOOKUP($B52,CÁLCULO!$M$15:$N$44,2,FALSE),0))</f>
        <v>0</v>
      </c>
      <c r="D52" s="785"/>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85">
        <f ca="1">IF(AUTOEVENTO="Manual",OFFSET(EVENTOS!$D$15,$B53-$B$15,0),IF(B53&lt;=MAX(CÁLCULO!$M$15:$M$44),VLOOKUP($B53,CÁLCULO!$M$15:$N$44,2,FALSE),0))</f>
        <v>0</v>
      </c>
      <c r="D53" s="785"/>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85">
        <f ca="1">IF(AUTOEVENTO="Manual",OFFSET(EVENTOS!$D$15,$B54-$B$15,0),IF(B54&lt;=MAX(CÁLCULO!$M$15:$M$44),VLOOKUP($B54,CÁLCULO!$M$15:$N$44,2,FALSE),0))</f>
        <v>0</v>
      </c>
      <c r="D54" s="785"/>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85">
        <f ca="1">IF(AUTOEVENTO="Manual",OFFSET(EVENTOS!$D$15,$B55-$B$15,0),IF(B55&lt;=MAX(CÁLCULO!$M$15:$M$44),VLOOKUP($B55,CÁLCULO!$M$15:$N$44,2,FALSE),0))</f>
        <v>0</v>
      </c>
      <c r="D55" s="785"/>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85">
        <f ca="1">IF(AUTOEVENTO="Manual",OFFSET(EVENTOS!$D$15,$B56-$B$15,0),IF(B56&lt;=MAX(CÁLCULO!$M$15:$M$44),VLOOKUP($B56,CÁLCULO!$M$15:$N$44,2,FALSE),0))</f>
        <v>0</v>
      </c>
      <c r="D56" s="785"/>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85">
        <f ca="1">IF(AUTOEVENTO="Manual",OFFSET(EVENTOS!$D$15,$B57-$B$15,0),IF(B57&lt;=MAX(CÁLCULO!$M$15:$M$44),VLOOKUP($B57,CÁLCULO!$M$15:$N$44,2,FALSE),0))</f>
        <v>0</v>
      </c>
      <c r="D57" s="785"/>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85">
        <f ca="1">IF(AUTOEVENTO="Manual",OFFSET(EVENTOS!$D$15,$B58-$B$15,0),IF(B58&lt;=MAX(CÁLCULO!$M$15:$M$44),VLOOKUP($B58,CÁLCULO!$M$15:$N$44,2,FALSE),0))</f>
        <v>0</v>
      </c>
      <c r="D58" s="785"/>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85">
        <f ca="1">IF(AUTOEVENTO="Manual",OFFSET(EVENTOS!$D$15,$B59-$B$15,0),IF(B59&lt;=MAX(CÁLCULO!$M$15:$M$44),VLOOKUP($B59,CÁLCULO!$M$15:$N$44,2,FALSE),0))</f>
        <v>0</v>
      </c>
      <c r="D59" s="785"/>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85">
        <f ca="1">IF(AUTOEVENTO="Manual",OFFSET(EVENTOS!$D$15,$B60-$B$15,0),IF(B60&lt;=MAX(CÁLCULO!$M$15:$M$44),VLOOKUP($B60,CÁLCULO!$M$15:$N$44,2,FALSE),0))</f>
        <v>0</v>
      </c>
      <c r="D60" s="785"/>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85">
        <f ca="1">IF(AUTOEVENTO="Manual",OFFSET(EVENTOS!$D$15,$B61-$B$15,0),IF(B61&lt;=MAX(CÁLCULO!$M$15:$M$44),VLOOKUP($B61,CÁLCULO!$M$15:$N$44,2,FALSE),0))</f>
        <v>0</v>
      </c>
      <c r="D61" s="785"/>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85">
        <f ca="1">IF(AUTOEVENTO="Manual",OFFSET(EVENTOS!$D$15,$B62-$B$15,0),IF(B62&lt;=MAX(CÁLCULO!$M$15:$M$44),VLOOKUP($B62,CÁLCULO!$M$15:$N$44,2,FALSE),0))</f>
        <v>0</v>
      </c>
      <c r="D62" s="785"/>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85">
        <f ca="1">IF(AUTOEVENTO="Manual",OFFSET(EVENTOS!$D$15,$B63-$B$15,0),IF(B63&lt;=MAX(CÁLCULO!$M$15:$M$44),VLOOKUP($B63,CÁLCULO!$M$15:$N$44,2,FALSE),0))</f>
        <v>0</v>
      </c>
      <c r="D63" s="785"/>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85">
        <f ca="1">IF(AUTOEVENTO="Manual",OFFSET(EVENTOS!$D$15,$B64-$B$15,0),IF(B64&lt;=MAX(CÁLCULO!$M$15:$M$44),VLOOKUP($B64,CÁLCULO!$M$15:$N$44,2,FALSE),0))</f>
        <v>0</v>
      </c>
      <c r="D64" s="785"/>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788" t="s">
        <v>839</v>
      </c>
      <c r="J67" s="788"/>
      <c r="K67" s="788"/>
      <c r="L67" s="788"/>
      <c r="M67" s="788"/>
      <c r="N67" s="788"/>
      <c r="O67" s="788"/>
      <c r="P67" s="788"/>
      <c r="Q67" s="788"/>
      <c r="R67" s="788"/>
      <c r="S67" s="788"/>
      <c r="T67" s="788"/>
      <c r="U67" s="788"/>
      <c r="V67" s="788"/>
      <c r="W67" s="788"/>
      <c r="X67" s="788"/>
      <c r="Y67" s="788"/>
      <c r="Z67" s="788"/>
      <c r="AA67" s="788"/>
      <c r="AB67" s="788"/>
      <c r="AC67" s="788"/>
      <c r="AD67" s="788"/>
      <c r="AE67" s="788"/>
      <c r="AF67" s="788"/>
    </row>
    <row r="68" spans="1:32" x14ac:dyDescent="0.2">
      <c r="A68" s="7" t="s">
        <v>536</v>
      </c>
      <c r="H68" s="583" t="str">
        <f>IF(INDEX($I$68:$AG$68,MATCH(PLE.Medicao,$I$69:$AG$69,0))="","Preencher a data da medição "&amp;PLE.Medicao,"")</f>
        <v>Preencher a data da medição 1</v>
      </c>
      <c r="I68" s="801"/>
      <c r="J68" s="789"/>
      <c r="K68" s="789"/>
      <c r="L68" s="789"/>
      <c r="M68" s="789"/>
      <c r="N68" s="789"/>
      <c r="O68" s="789"/>
      <c r="P68" s="789"/>
      <c r="Q68" s="789"/>
      <c r="R68" s="789"/>
      <c r="S68" s="789"/>
      <c r="T68" s="789"/>
      <c r="U68" s="789"/>
      <c r="V68" s="789"/>
      <c r="W68" s="789"/>
      <c r="X68" s="789"/>
      <c r="Y68" s="789"/>
      <c r="Z68" s="789"/>
      <c r="AA68" s="789"/>
      <c r="AB68" s="789"/>
      <c r="AC68" s="789"/>
      <c r="AD68" s="789"/>
      <c r="AE68" s="789"/>
      <c r="AF68" s="790"/>
    </row>
    <row r="69" spans="1:32" x14ac:dyDescent="0.2">
      <c r="A69" s="7" t="s">
        <v>536</v>
      </c>
      <c r="D69" s="269" t="s">
        <v>840</v>
      </c>
      <c r="I69" s="792">
        <f>IF(PLE.Medicao&lt;=12,1,TRUNC((PLE.Medicao - 2)/11,0) * 11 + 1)</f>
        <v>1</v>
      </c>
      <c r="J69" s="792"/>
      <c r="K69" s="792">
        <f>I69+1</f>
        <v>2</v>
      </c>
      <c r="L69" s="792"/>
      <c r="M69" s="792">
        <f>K69+1</f>
        <v>3</v>
      </c>
      <c r="N69" s="792"/>
      <c r="O69" s="792">
        <f>M69+1</f>
        <v>4</v>
      </c>
      <c r="P69" s="792"/>
      <c r="Q69" s="792">
        <f>O69+1</f>
        <v>5</v>
      </c>
      <c r="R69" s="792"/>
      <c r="S69" s="792">
        <f>Q69+1</f>
        <v>6</v>
      </c>
      <c r="T69" s="792"/>
      <c r="U69" s="792">
        <f>S69+1</f>
        <v>7</v>
      </c>
      <c r="V69" s="792"/>
      <c r="W69" s="792">
        <f>U69+1</f>
        <v>8</v>
      </c>
      <c r="X69" s="792"/>
      <c r="Y69" s="792">
        <f>W69+1</f>
        <v>9</v>
      </c>
      <c r="Z69" s="792"/>
      <c r="AA69" s="792">
        <f>Y69+1</f>
        <v>10</v>
      </c>
      <c r="AB69" s="792"/>
      <c r="AC69" s="792">
        <f>AA69+1</f>
        <v>11</v>
      </c>
      <c r="AD69" s="792"/>
      <c r="AE69" s="792">
        <f>AC69+1</f>
        <v>12</v>
      </c>
      <c r="AF69" s="792"/>
    </row>
    <row r="70" spans="1:32" x14ac:dyDescent="0.2">
      <c r="A70" s="7" t="s">
        <v>536</v>
      </c>
      <c r="D70" s="800" t="s">
        <v>799</v>
      </c>
      <c r="H70" s="270" t="s">
        <v>781</v>
      </c>
      <c r="I70" s="802">
        <f ca="1">ROUND(I71,2)/ORÇAMENTO!$X$15</f>
        <v>0</v>
      </c>
      <c r="J70" s="802"/>
      <c r="K70" s="791">
        <f ca="1">ROUND(K71,2)/ORÇAMENTO!$X$15</f>
        <v>0</v>
      </c>
      <c r="L70" s="791"/>
      <c r="M70" s="791">
        <f ca="1">ROUND(M71,2)/ORÇAMENTO!$X$15</f>
        <v>0</v>
      </c>
      <c r="N70" s="791"/>
      <c r="O70" s="791">
        <f ca="1">ROUND(O71,2)/ORÇAMENTO!$X$15</f>
        <v>0</v>
      </c>
      <c r="P70" s="791"/>
      <c r="Q70" s="791">
        <f ca="1">ROUND(Q71,2)/ORÇAMENTO!$X$15</f>
        <v>0</v>
      </c>
      <c r="R70" s="791"/>
      <c r="S70" s="791">
        <f ca="1">ROUND(S71,2)/ORÇAMENTO!$X$15</f>
        <v>0</v>
      </c>
      <c r="T70" s="791"/>
      <c r="U70" s="791">
        <f ca="1">ROUND(U71,2)/ORÇAMENTO!$X$15</f>
        <v>0</v>
      </c>
      <c r="V70" s="791"/>
      <c r="W70" s="791">
        <f ca="1">ROUND(W71,2)/ORÇAMENTO!$X$15</f>
        <v>0</v>
      </c>
      <c r="X70" s="791"/>
      <c r="Y70" s="791">
        <f ca="1">ROUND(Y71,2)/ORÇAMENTO!$X$15</f>
        <v>0</v>
      </c>
      <c r="Z70" s="791"/>
      <c r="AA70" s="791">
        <f ca="1">ROUND(AA71,2)/ORÇAMENTO!$X$15</f>
        <v>0</v>
      </c>
      <c r="AB70" s="791"/>
      <c r="AC70" s="791">
        <f ca="1">ROUND(AC71,2)/ORÇAMENTO!$X$15</f>
        <v>0</v>
      </c>
      <c r="AD70" s="791"/>
      <c r="AE70" s="791">
        <f ca="1">ROUND(AE71,2)/ORÇAMENTO!$X$15</f>
        <v>0</v>
      </c>
      <c r="AF70" s="791"/>
    </row>
    <row r="71" spans="1:32" x14ac:dyDescent="0.2">
      <c r="A71" s="7" t="s">
        <v>536</v>
      </c>
      <c r="D71" s="800"/>
      <c r="H71" s="11" t="s">
        <v>782</v>
      </c>
      <c r="I71" s="787" cm="1">
        <f t="array" aca="1" ref="I71" ca="1">IF(I69=1,I73,ROUND(I73,2)-ROUND(SUMIF(CÁLCULO!$AX$15:$BH$44,"&lt;="&amp;PLE!I69-1,CÁLCULO!$AB$15:$AL$44)*IF(AdmLocal="Automática",(1+CÁLCULO.TotalAdmLocal/(ORÇAMENTO!$X$15-CÁLCULO.TotalAdmLocal)),1),2))</f>
        <v>0</v>
      </c>
      <c r="J71" s="787"/>
      <c r="K71" s="787">
        <f ca="1">ROUND(K73,2)-ROUND(I73,2)</f>
        <v>0</v>
      </c>
      <c r="L71" s="787"/>
      <c r="M71" s="787">
        <f t="shared" ref="M71" ca="1" si="3">ROUND(M73,2)-ROUND(K73,2)</f>
        <v>0</v>
      </c>
      <c r="N71" s="787"/>
      <c r="O71" s="787">
        <f t="shared" ref="O71" ca="1" si="4">ROUND(O73,2)-ROUND(M73,2)</f>
        <v>0</v>
      </c>
      <c r="P71" s="787"/>
      <c r="Q71" s="787">
        <f t="shared" ref="Q71" ca="1" si="5">ROUND(Q73,2)-ROUND(O73,2)</f>
        <v>0</v>
      </c>
      <c r="R71" s="787"/>
      <c r="S71" s="787">
        <f t="shared" ref="S71" ca="1" si="6">ROUND(S73,2)-ROUND(Q73,2)</f>
        <v>0</v>
      </c>
      <c r="T71" s="787"/>
      <c r="U71" s="787">
        <f t="shared" ref="U71" ca="1" si="7">ROUND(U73,2)-ROUND(S73,2)</f>
        <v>0</v>
      </c>
      <c r="V71" s="787"/>
      <c r="W71" s="787">
        <f t="shared" ref="W71" ca="1" si="8">ROUND(W73,2)-ROUND(U73,2)</f>
        <v>0</v>
      </c>
      <c r="X71" s="787"/>
      <c r="Y71" s="787">
        <f t="shared" ref="Y71" ca="1" si="9">ROUND(Y73,2)-ROUND(W73,2)</f>
        <v>0</v>
      </c>
      <c r="Z71" s="787"/>
      <c r="AA71" s="787">
        <f t="shared" ref="AA71" ca="1" si="10">ROUND(AA73,2)-ROUND(Y73,2)</f>
        <v>0</v>
      </c>
      <c r="AB71" s="787"/>
      <c r="AC71" s="787">
        <f t="shared" ref="AC71" ca="1" si="11">ROUND(AC73,2)-ROUND(AA73,2)</f>
        <v>0</v>
      </c>
      <c r="AD71" s="787"/>
      <c r="AE71" s="787">
        <f t="shared" ref="AE71" ca="1" si="12">ROUND(AE73,2)-ROUND(AC73,2)</f>
        <v>0</v>
      </c>
      <c r="AF71" s="787"/>
    </row>
    <row r="72" spans="1:32" x14ac:dyDescent="0.2">
      <c r="A72" s="7" t="s">
        <v>536</v>
      </c>
      <c r="D72" s="800" t="s">
        <v>803</v>
      </c>
      <c r="H72" s="270" t="s">
        <v>781</v>
      </c>
      <c r="I72" s="804">
        <f ca="1">ROUND(I73,2)/ORÇAMENTO!$X$15</f>
        <v>0</v>
      </c>
      <c r="J72" s="804"/>
      <c r="K72" s="786">
        <f ca="1">ROUND(K73,2)/ORÇAMENTO!$X$15</f>
        <v>0</v>
      </c>
      <c r="L72" s="786"/>
      <c r="M72" s="786">
        <f ca="1">ROUND(M73,2)/ORÇAMENTO!$X$15</f>
        <v>0</v>
      </c>
      <c r="N72" s="786"/>
      <c r="O72" s="786">
        <f ca="1">ROUND(O73,2)/ORÇAMENTO!$X$15</f>
        <v>0</v>
      </c>
      <c r="P72" s="786"/>
      <c r="Q72" s="786">
        <f ca="1">ROUND(Q73,2)/ORÇAMENTO!$X$15</f>
        <v>0</v>
      </c>
      <c r="R72" s="786"/>
      <c r="S72" s="786">
        <f ca="1">ROUND(S73,2)/ORÇAMENTO!$X$15</f>
        <v>0</v>
      </c>
      <c r="T72" s="786"/>
      <c r="U72" s="786">
        <f ca="1">ROUND(U73,2)/ORÇAMENTO!$X$15</f>
        <v>0</v>
      </c>
      <c r="V72" s="786"/>
      <c r="W72" s="786">
        <f ca="1">ROUND(W73,2)/ORÇAMENTO!$X$15</f>
        <v>0</v>
      </c>
      <c r="X72" s="786"/>
      <c r="Y72" s="786">
        <f ca="1">ROUND(Y73,2)/ORÇAMENTO!$X$15</f>
        <v>0</v>
      </c>
      <c r="Z72" s="786"/>
      <c r="AA72" s="786">
        <f ca="1">ROUND(AA73,2)/ORÇAMENTO!$X$15</f>
        <v>0</v>
      </c>
      <c r="AB72" s="786"/>
      <c r="AC72" s="786">
        <f ca="1">ROUND(AC73,2)/ORÇAMENTO!$X$15</f>
        <v>0</v>
      </c>
      <c r="AD72" s="786"/>
      <c r="AE72" s="786">
        <f ca="1">ROUND(AE73,2)/ORÇAMENTO!$X$15</f>
        <v>0</v>
      </c>
      <c r="AF72" s="786"/>
    </row>
    <row r="73" spans="1:32" x14ac:dyDescent="0.2">
      <c r="A73" s="7" t="s">
        <v>536</v>
      </c>
      <c r="D73" s="800"/>
      <c r="H73" s="11" t="s">
        <v>782</v>
      </c>
      <c r="I73" s="803" cm="1">
        <f t="array" aca="1" ref="I73" ca="1">SUMIF(CÁLCULO!$AX$15:$BH$44,"&lt;="&amp;PLE!I69,CÁLCULO!$AB$15:$AL$44)*IF(AdmLocal="Automática",(1+CÁLCULO.TotalAdmLocal/(ORÇAMENTO!$X$15-CÁLCULO.TotalAdmLocal)),1)</f>
        <v>0</v>
      </c>
      <c r="J73" s="803"/>
      <c r="K73" s="787" cm="1">
        <f t="array" aca="1" ref="K73" ca="1">SUMIF(CÁLCULO!$AX$15:$BH$44,"&lt;="&amp;PLE!K69,CÁLCULO!$AB$15:$AL$44)*IF(AdmLocal="Automática",(1+CÁLCULO.TotalAdmLocal/(ORÇAMENTO!$X$15-CÁLCULO.TotalAdmLocal)),1)</f>
        <v>0</v>
      </c>
      <c r="L73" s="787"/>
      <c r="M73" s="787" cm="1">
        <f t="array" aca="1" ref="M73" ca="1">SUMIF(CÁLCULO!$AX$15:$BH$44,"&lt;="&amp;PLE!M69,CÁLCULO!$AB$15:$AL$44)*IF(AdmLocal="Automática",(1+CÁLCULO.TotalAdmLocal/(ORÇAMENTO!$X$15-CÁLCULO.TotalAdmLocal)),1)</f>
        <v>0</v>
      </c>
      <c r="N73" s="787"/>
      <c r="O73" s="787" cm="1">
        <f t="array" aca="1" ref="O73" ca="1">SUMIF(CÁLCULO!$AX$15:$BH$44,"&lt;="&amp;PLE!O69,CÁLCULO!$AB$15:$AL$44)*IF(AdmLocal="Automática",(1+CÁLCULO.TotalAdmLocal/(ORÇAMENTO!$X$15-CÁLCULO.TotalAdmLocal)),1)</f>
        <v>0</v>
      </c>
      <c r="P73" s="787"/>
      <c r="Q73" s="787" cm="1">
        <f t="array" aca="1" ref="Q73" ca="1">SUMIF(CÁLCULO!$AX$15:$BH$44,"&lt;="&amp;PLE!Q69,CÁLCULO!$AB$15:$AL$44)*IF(AdmLocal="Automática",(1+CÁLCULO.TotalAdmLocal/(ORÇAMENTO!$X$15-CÁLCULO.TotalAdmLocal)),1)</f>
        <v>0</v>
      </c>
      <c r="R73" s="787"/>
      <c r="S73" s="787" cm="1">
        <f t="array" aca="1" ref="S73" ca="1">SUMIF(CÁLCULO!$AX$15:$BH$44,"&lt;="&amp;PLE!S69,CÁLCULO!$AB$15:$AL$44)*IF(AdmLocal="Automática",(1+CÁLCULO.TotalAdmLocal/(ORÇAMENTO!$X$15-CÁLCULO.TotalAdmLocal)),1)</f>
        <v>0</v>
      </c>
      <c r="T73" s="787"/>
      <c r="U73" s="787" cm="1">
        <f t="array" aca="1" ref="U73" ca="1">SUMIF(CÁLCULO!$AX$15:$BH$44,"&lt;="&amp;PLE!U69,CÁLCULO!$AB$15:$AL$44)*IF(AdmLocal="Automática",(1+CÁLCULO.TotalAdmLocal/(ORÇAMENTO!$X$15-CÁLCULO.TotalAdmLocal)),1)</f>
        <v>0</v>
      </c>
      <c r="V73" s="787"/>
      <c r="W73" s="787" cm="1">
        <f t="array" aca="1" ref="W73" ca="1">SUMIF(CÁLCULO!$AX$15:$BH$44,"&lt;="&amp;PLE!W69,CÁLCULO!$AB$15:$AL$44)*IF(AdmLocal="Automática",(1+CÁLCULO.TotalAdmLocal/(ORÇAMENTO!$X$15-CÁLCULO.TotalAdmLocal)),1)</f>
        <v>0</v>
      </c>
      <c r="X73" s="787"/>
      <c r="Y73" s="787" cm="1">
        <f t="array" aca="1" ref="Y73" ca="1">SUMIF(CÁLCULO!$AX$15:$BH$44,"&lt;="&amp;PLE!Y69,CÁLCULO!$AB$15:$AL$44)*IF(AdmLocal="Automática",(1+CÁLCULO.TotalAdmLocal/(ORÇAMENTO!$X$15-CÁLCULO.TotalAdmLocal)),1)</f>
        <v>0</v>
      </c>
      <c r="Z73" s="787"/>
      <c r="AA73" s="787" cm="1">
        <f t="array" aca="1" ref="AA73" ca="1">SUMIF(CÁLCULO!$AX$15:$BH$44,"&lt;="&amp;PLE!AA69,CÁLCULO!$AB$15:$AL$44)*IF(AdmLocal="Automática",(1+CÁLCULO.TotalAdmLocal/(ORÇAMENTO!$X$15-CÁLCULO.TotalAdmLocal)),1)</f>
        <v>0</v>
      </c>
      <c r="AB73" s="787"/>
      <c r="AC73" s="787" cm="1">
        <f t="array" aca="1" ref="AC73" ca="1">SUMIF(CÁLCULO!$AX$15:$BH$44,"&lt;="&amp;PLE!AC69,CÁLCULO!$AB$15:$AL$44)*IF(AdmLocal="Automática",(1+CÁLCULO.TotalAdmLocal/(ORÇAMENTO!$X$15-CÁLCULO.TotalAdmLocal)),1)</f>
        <v>0</v>
      </c>
      <c r="AD73" s="787"/>
      <c r="AE73" s="787" cm="1">
        <f t="array" aca="1" ref="AE73" ca="1">SUMIF(CÁLCULO!$AX$15:$BH$44,"&lt;="&amp;PLE!AE69,CÁLCULO!$AB$15:$AL$44)*IF(AdmLocal="Automática",(1+CÁLCULO.TotalAdmLocal/(ORÇAMENTO!$X$15-CÁLCULO.TotalAdmLocal)),1)</f>
        <v>0</v>
      </c>
      <c r="AF73" s="787"/>
    </row>
    <row r="74" spans="1:32" ht="12.75" customHeight="1" x14ac:dyDescent="0.2">
      <c r="A74" s="7"/>
      <c r="D74" s="552" t="s">
        <v>784</v>
      </c>
      <c r="H74" s="551" t="s">
        <v>781</v>
      </c>
      <c r="I74" s="745" t="e">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#N/A</v>
      </c>
      <c r="J74" s="745"/>
      <c r="K74" s="745">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5"/>
      <c r="M74" s="745">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5"/>
      <c r="O74" s="745">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5"/>
      <c r="Q74" s="745">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5"/>
      <c r="S74" s="745">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5"/>
      <c r="U74" s="745">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5"/>
      <c r="W74" s="745">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5"/>
      <c r="Y74" s="745">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5"/>
      <c r="AA74" s="745">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5"/>
      <c r="AC74" s="745">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5"/>
      <c r="AE74" s="745">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5"/>
    </row>
    <row r="75" spans="1:32" ht="13.5" x14ac:dyDescent="0.25">
      <c r="A75" s="7" t="s">
        <v>536</v>
      </c>
      <c r="D75" s="523"/>
      <c r="H75" s="583" t="str">
        <f ca="1">IF(COUNTIF(I75:AG75,"%Adm&gt;%Global")&gt;0,"Verificar proporcionalidade da Administração Local","")</f>
        <v/>
      </c>
      <c r="I75" s="535" t="e">
        <f ca="1">IF(I74="","",IF(ROUND(I74,4)&gt;ROUND(I72,4),"%Adm&gt;%Global",""))</f>
        <v>#N/A</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805"/>
      <c r="J76" s="805"/>
    </row>
    <row r="77" spans="1:32" ht="15" x14ac:dyDescent="0.25">
      <c r="A77" s="7" t="s">
        <v>536</v>
      </c>
      <c r="B77" s="717" t="str">
        <f>Import.Município</f>
        <v>Ivorá/RS</v>
      </c>
      <c r="C77" s="717"/>
      <c r="D77" s="717"/>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1">
        <f>DADOS!$C$48</f>
        <v>0</v>
      </c>
      <c r="C80" s="711"/>
      <c r="D80" s="711"/>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hwFTY6VKAVMdFA+2nQV8HL63IV3La9HphEfZFabL4zX07ModqlEaUKKs/axAp9NMjRJ7BM8iIlvVCvRejeXksw==" saltValue="5myHTIf4ZFk5qCwt6yGoBA==" spinCount="100000" sheet="1" objects="1" scenarios="1" autoFilter="0"/>
  <autoFilter ref="A13:A81" xr:uid="{00000000-0009-0000-0000-000009000000}"/>
  <mergeCells count="156">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5:D25"/>
    <mergeCell ref="C26:D26"/>
    <mergeCell ref="C27:D27"/>
    <mergeCell ref="C28:D28"/>
    <mergeCell ref="C34:D34"/>
    <mergeCell ref="C35:D35"/>
    <mergeCell ref="C36:D36"/>
    <mergeCell ref="C37:D37"/>
    <mergeCell ref="C43:D43"/>
    <mergeCell ref="C63:D63"/>
    <mergeCell ref="C64:D64"/>
    <mergeCell ref="C44:D44"/>
    <mergeCell ref="C45:D45"/>
    <mergeCell ref="C46:D46"/>
    <mergeCell ref="C52:D52"/>
    <mergeCell ref="C53:D53"/>
    <mergeCell ref="C54:D54"/>
    <mergeCell ref="C55:D55"/>
    <mergeCell ref="C61:D61"/>
    <mergeCell ref="C62:D62"/>
  </mergeCells>
  <phoneticPr fontId="38" type="noConversion"/>
  <conditionalFormatting sqref="F1:F2">
    <cfRule type="expression" dxfId="138" priority="2721" stopIfTrue="1">
      <formula>IF(OR(ACOMPANHAMENTO="BM",F$12&gt;CÁLCULO.NúmeroDeFrentes),TRUE,PLE.ValorDoEvento=0)</formula>
    </cfRule>
    <cfRule type="cellIs" dxfId="137" priority="2722" stopIfTrue="1" operator="equal">
      <formula>$J$9</formula>
    </cfRule>
  </conditionalFormatting>
  <conditionalFormatting sqref="I70:AF70">
    <cfRule type="expression" dxfId="136" priority="2723" stopIfTrue="1">
      <formula>I69=$J$9</formula>
    </cfRule>
  </conditionalFormatting>
  <conditionalFormatting sqref="I71:AF71">
    <cfRule type="expression" dxfId="135" priority="2724" stopIfTrue="1">
      <formula>I69=$J$9</formula>
    </cfRule>
  </conditionalFormatting>
  <conditionalFormatting sqref="I72:AF72">
    <cfRule type="expression" dxfId="134" priority="2725" stopIfTrue="1">
      <formula>I69=$J$9</formula>
    </cfRule>
  </conditionalFormatting>
  <conditionalFormatting sqref="I73:AF73">
    <cfRule type="expression" dxfId="133" priority="2726" stopIfTrue="1">
      <formula>I69=$J$9</formula>
    </cfRule>
  </conditionalFormatting>
  <conditionalFormatting sqref="I69:J69">
    <cfRule type="cellIs" dxfId="132" priority="2720" stopIfTrue="1" operator="notEqual">
      <formula>1</formula>
    </cfRule>
  </conditionalFormatting>
  <conditionalFormatting sqref="H1:AF1">
    <cfRule type="expression" dxfId="131" priority="2738" stopIfTrue="1">
      <formula>IF(OR(ACOMPANHAMENTO="BM",TIPOORCAMENTO="Proposto",H$12&gt;CÁLCULO.NúmeroDeFrentes),TRUE,PLE.ValorDoEvento=0)</formula>
    </cfRule>
    <cfRule type="cellIs" dxfId="130" priority="2739" stopIfTrue="1" operator="equal">
      <formula>$J$9</formula>
    </cfRule>
  </conditionalFormatting>
  <conditionalFormatting sqref="AE6:AE7">
    <cfRule type="expression" dxfId="129" priority="2727" stopIfTrue="1">
      <formula>TIPOORCAMENTO&lt;&gt;"Licitado"</formula>
    </cfRule>
  </conditionalFormatting>
  <conditionalFormatting sqref="N9:T9">
    <cfRule type="expression" dxfId="128" priority="2728" stopIfTrue="1">
      <formula>COLUMN(N9)&gt;COLUMN($AF$12)</formula>
    </cfRule>
    <cfRule type="expression" dxfId="127" priority="2729" stopIfTrue="1">
      <formula>$N$9="DIGITE A DATA DA MEDIÇÃO"</formula>
    </cfRule>
  </conditionalFormatting>
  <conditionalFormatting sqref="I9:M9 U9:AF9">
    <cfRule type="expression" dxfId="126" priority="2730" stopIfTrue="1">
      <formula>COLUMN(I9)&gt;COLUMN($AF$12)</formula>
    </cfRule>
  </conditionalFormatting>
  <conditionalFormatting sqref="K70:AF73">
    <cfRule type="expression" dxfId="125" priority="1736" stopIfTrue="1">
      <formula>I$72=100%</formula>
    </cfRule>
  </conditionalFormatting>
  <conditionalFormatting sqref="J75 L75 N75 P75 R75 T75 V75 X75 Z75 AB75 AD75 AF75">
    <cfRule type="expression" dxfId="124" priority="14447" stopIfTrue="1">
      <formula>J70=$J$9</formula>
    </cfRule>
  </conditionalFormatting>
  <conditionalFormatting sqref="K74:AF74">
    <cfRule type="expression" dxfId="123" priority="1735">
      <formula>OFFSET(K74,-2,-2)=1</formula>
    </cfRule>
  </conditionalFormatting>
  <conditionalFormatting sqref="I74:AF74">
    <cfRule type="expression" dxfId="122" priority="1734">
      <formula>ROUND(I74,4)&gt;ROUND(I72,4)</formula>
    </cfRule>
  </conditionalFormatting>
  <conditionalFormatting sqref="N13">
    <cfRule type="expression" dxfId="121" priority="1733">
      <formula>$Y$9=0</formula>
    </cfRule>
  </conditionalFormatting>
  <conditionalFormatting sqref="F16:F24">
    <cfRule type="expression" dxfId="120" priority="21" stopIfTrue="1">
      <formula>IF(OR(ACOMPANHAMENTO="BM",F$12&gt;CÁLCULO.NúmeroDeFrentes),TRUE,PLE.ValorDoEvento=0)</formula>
    </cfRule>
    <cfRule type="cellIs" dxfId="119" priority="22" stopIfTrue="1" operator="equal">
      <formula>$J$9</formula>
    </cfRule>
  </conditionalFormatting>
  <conditionalFormatting sqref="H16:AF24">
    <cfRule type="expression" dxfId="118" priority="23" stopIfTrue="1">
      <formula>IF(OR(ACOMPANHAMENTO="BM",TIPOORCAMENTO="Proposto",H$12&gt;CÁLCULO.NúmeroDeFrentes),TRUE,PLE.ValorDoEvento=0)</formula>
    </cfRule>
    <cfRule type="cellIs" dxfId="117" priority="24" stopIfTrue="1" operator="equal">
      <formula>$J$9</formula>
    </cfRule>
  </conditionalFormatting>
  <conditionalFormatting sqref="F25:F33">
    <cfRule type="expression" dxfId="116" priority="17" stopIfTrue="1">
      <formula>IF(OR(ACOMPANHAMENTO="BM",F$12&gt;CÁLCULO.NúmeroDeFrentes),TRUE,PLE.ValorDoEvento=0)</formula>
    </cfRule>
    <cfRule type="cellIs" dxfId="115" priority="18" stopIfTrue="1" operator="equal">
      <formula>$J$9</formula>
    </cfRule>
  </conditionalFormatting>
  <conditionalFormatting sqref="H25:AF33">
    <cfRule type="expression" dxfId="114" priority="19" stopIfTrue="1">
      <formula>IF(OR(ACOMPANHAMENTO="BM",TIPOORCAMENTO="Proposto",H$12&gt;CÁLCULO.NúmeroDeFrentes),TRUE,PLE.ValorDoEvento=0)</formula>
    </cfRule>
    <cfRule type="cellIs" dxfId="113" priority="20" stopIfTrue="1" operator="equal">
      <formula>$J$9</formula>
    </cfRule>
  </conditionalFormatting>
  <conditionalFormatting sqref="F34:F42">
    <cfRule type="expression" dxfId="112" priority="13" stopIfTrue="1">
      <formula>IF(OR(ACOMPANHAMENTO="BM",F$12&gt;CÁLCULO.NúmeroDeFrentes),TRUE,PLE.ValorDoEvento=0)</formula>
    </cfRule>
    <cfRule type="cellIs" dxfId="111" priority="14" stopIfTrue="1" operator="equal">
      <formula>$J$9</formula>
    </cfRule>
  </conditionalFormatting>
  <conditionalFormatting sqref="H34:AF42">
    <cfRule type="expression" dxfId="110" priority="15" stopIfTrue="1">
      <formula>IF(OR(ACOMPANHAMENTO="BM",TIPOORCAMENTO="Proposto",H$12&gt;CÁLCULO.NúmeroDeFrentes),TRUE,PLE.ValorDoEvento=0)</formula>
    </cfRule>
    <cfRule type="cellIs" dxfId="109" priority="16" stopIfTrue="1" operator="equal">
      <formula>$J$9</formula>
    </cfRule>
  </conditionalFormatting>
  <conditionalFormatting sqref="F43:F51">
    <cfRule type="expression" dxfId="108" priority="9" stopIfTrue="1">
      <formula>IF(OR(ACOMPANHAMENTO="BM",F$12&gt;CÁLCULO.NúmeroDeFrentes),TRUE,PLE.ValorDoEvento=0)</formula>
    </cfRule>
    <cfRule type="cellIs" dxfId="107" priority="10" stopIfTrue="1" operator="equal">
      <formula>$J$9</formula>
    </cfRule>
  </conditionalFormatting>
  <conditionalFormatting sqref="H43:AF51">
    <cfRule type="expression" dxfId="106" priority="11" stopIfTrue="1">
      <formula>IF(OR(ACOMPANHAMENTO="BM",TIPOORCAMENTO="Proposto",H$12&gt;CÁLCULO.NúmeroDeFrentes),TRUE,PLE.ValorDoEvento=0)</formula>
    </cfRule>
    <cfRule type="cellIs" dxfId="105" priority="12" stopIfTrue="1" operator="equal">
      <formula>$J$9</formula>
    </cfRule>
  </conditionalFormatting>
  <conditionalFormatting sqref="F52:F60">
    <cfRule type="expression" dxfId="104" priority="5" stopIfTrue="1">
      <formula>IF(OR(ACOMPANHAMENTO="BM",F$12&gt;CÁLCULO.NúmeroDeFrentes),TRUE,PLE.ValorDoEvento=0)</formula>
    </cfRule>
    <cfRule type="cellIs" dxfId="103" priority="6" stopIfTrue="1" operator="equal">
      <formula>$J$9</formula>
    </cfRule>
  </conditionalFormatting>
  <conditionalFormatting sqref="H52:AF60">
    <cfRule type="expression" dxfId="102" priority="7" stopIfTrue="1">
      <formula>IF(OR(ACOMPANHAMENTO="BM",TIPOORCAMENTO="Proposto",H$12&gt;CÁLCULO.NúmeroDeFrentes),TRUE,PLE.ValorDoEvento=0)</formula>
    </cfRule>
    <cfRule type="cellIs" dxfId="101" priority="8" stopIfTrue="1" operator="equal">
      <formula>$J$9</formula>
    </cfRule>
  </conditionalFormatting>
  <conditionalFormatting sqref="F61:F64">
    <cfRule type="expression" dxfId="100" priority="1" stopIfTrue="1">
      <formula>IF(OR(ACOMPANHAMENTO="BM",F$12&gt;CÁLCULO.NúmeroDeFrentes),TRUE,PLE.ValorDoEvento=0)</formula>
    </cfRule>
    <cfRule type="cellIs" dxfId="99" priority="2" stopIfTrue="1" operator="equal">
      <formula>$J$9</formula>
    </cfRule>
  </conditionalFormatting>
  <conditionalFormatting sqref="H61:AF64">
    <cfRule type="expression" dxfId="98" priority="3" stopIfTrue="1">
      <formula>IF(OR(ACOMPANHAMENTO="BM",TIPOORCAMENTO="Proposto",H$12&gt;CÁLCULO.NúmeroDeFrentes),TRUE,PLE.ValorDoEvento=0)</formula>
    </cfRule>
    <cfRule type="cellIs" dxfId="9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59"/>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06" t="b">
        <v>0</v>
      </c>
      <c r="B3" s="806"/>
      <c r="E3" s="86"/>
    </row>
    <row r="4" spans="1:41" x14ac:dyDescent="0.2">
      <c r="D4" s="684" t="s">
        <v>652</v>
      </c>
      <c r="E4" s="684"/>
      <c r="F4" s="722" t="s">
        <v>650</v>
      </c>
      <c r="G4" s="722"/>
      <c r="H4" s="722"/>
      <c r="I4" s="145" t="s">
        <v>707</v>
      </c>
      <c r="J4" s="684" t="s">
        <v>708</v>
      </c>
      <c r="K4" s="684"/>
      <c r="L4" s="684"/>
      <c r="M4" s="684"/>
      <c r="N4" s="684"/>
      <c r="O4" s="147" t="s">
        <v>843</v>
      </c>
    </row>
    <row r="5" spans="1:41" ht="12.75" customHeight="1" x14ac:dyDescent="0.2">
      <c r="A5" t="s">
        <v>844</v>
      </c>
      <c r="D5" s="681" t="str">
        <f>Import.Proponente</f>
        <v>Município de Ivorá</v>
      </c>
      <c r="E5" s="681"/>
      <c r="F5" s="720" t="str">
        <f>Import.CR</f>
        <v>984561-2025</v>
      </c>
      <c r="G5" s="720"/>
      <c r="H5" s="720"/>
      <c r="I5" s="322" t="str">
        <f>Import.TransfereGOV</f>
        <v>984561</v>
      </c>
      <c r="J5" s="681" t="str">
        <f>Import.Apelido</f>
        <v>Pavimentação Rua Padre Pedro Marcelino Copetti</v>
      </c>
      <c r="K5" s="681"/>
      <c r="L5" s="681"/>
      <c r="M5" s="681"/>
      <c r="N5" s="681"/>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84" t="s">
        <v>848</v>
      </c>
      <c r="G7" s="684"/>
      <c r="H7" s="684"/>
      <c r="I7" s="684" t="str" cm="1">
        <f t="array" ref="I7">IF(TIPOORCAMENTO="Licitado","REGIME DE EXECUÇÃO","MUNICÍPIO / UF")</f>
        <v>MUNICÍPIO / UF</v>
      </c>
      <c r="J7" s="684"/>
      <c r="K7" s="684"/>
      <c r="L7" s="684"/>
      <c r="M7" s="684" t="s">
        <v>849</v>
      </c>
      <c r="N7" s="684"/>
      <c r="O7" s="87" t="s">
        <v>850</v>
      </c>
      <c r="AO7" s="275" cm="1">
        <f t="array" aca="1" ref="AO7" ca="1">BM.MEDAcumulado</f>
        <v>0</v>
      </c>
    </row>
    <row r="8" spans="1:41" ht="12.75" customHeight="1" x14ac:dyDescent="0.2">
      <c r="A8" s="320" t="s">
        <v>851</v>
      </c>
      <c r="B8" s="2"/>
      <c r="C8" s="710" t="s">
        <v>655</v>
      </c>
      <c r="D8" s="326">
        <f>Import.CTEF</f>
        <v>0</v>
      </c>
      <c r="E8" s="56">
        <f>Import.empresa</f>
        <v>0</v>
      </c>
      <c r="F8" s="681">
        <f>Import.CNPJ</f>
        <v>0</v>
      </c>
      <c r="G8" s="681"/>
      <c r="H8" s="681"/>
      <c r="I8" s="681" t="str" cm="1">
        <f t="array" ref="I8">IF(TIPOORCAMENTO="Licitado",Import.RegimeExecução,Import.Município)</f>
        <v>Ivorá/RS</v>
      </c>
      <c r="J8" s="681"/>
      <c r="K8" s="681"/>
      <c r="L8" s="681"/>
      <c r="M8" s="681" t="str" cm="1">
        <f t="array" aca="1" ref="M8" ca="1">TEXT(IF(BM.medicao=1,Import.DataInicioObra,OFFSET($AB$12,0,BM.medicao-1-$AB$13)+1),"dd/mm/aaaa")&amp;" a "&amp;TEXT(OFFSET($AB$12,0,BM.medicao-$AB$13),"dd/mm/aaaa")</f>
        <v>00/01/1900 a 00/01/1900</v>
      </c>
      <c r="N8" s="681"/>
      <c r="O8" s="422">
        <v>1</v>
      </c>
    </row>
    <row r="9" spans="1:41" ht="12.75" customHeight="1" x14ac:dyDescent="0.2">
      <c r="A9" s="559" t="b">
        <v>1</v>
      </c>
      <c r="B9" s="4"/>
      <c r="C9" s="710"/>
    </row>
    <row r="10" spans="1:41" ht="13.35" customHeight="1" x14ac:dyDescent="0.2">
      <c r="A10" s="410" t="s">
        <v>852</v>
      </c>
      <c r="B10" s="411"/>
      <c r="C10" s="710"/>
      <c r="E10" s="556"/>
      <c r="F10" s="807"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IF($J$54&lt;&gt;"",UPPER($J$54),
 "")))))))</f>
        <v>Foi selecionado na aba 'MENU' o acompanhamento por PLE.</v>
      </c>
      <c r="G10" s="807"/>
      <c r="H10" s="807"/>
      <c r="I10" s="807"/>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OFFSET(CRONO!$F$13,CRONO!$F$175,0)</f>
        <v>#VALUE!</v>
      </c>
      <c r="B11" s="418"/>
      <c r="C11" s="710"/>
      <c r="E11" s="556"/>
      <c r="F11" s="807"/>
      <c r="G11" s="807"/>
      <c r="H11" s="807"/>
      <c r="I11" s="807"/>
      <c r="N11" s="557"/>
      <c r="O11" s="558" t="str">
        <f ca="1">IF(ISERROR(P11),"","Administração Local Acumulada: "&amp;TEXT(P11,"0,00%"))</f>
        <v/>
      </c>
      <c r="P11" s="561" t="e">
        <f ca="1">OFFSET($O$15,$A$11,0)/OFFSET($I$15,$A$11,0)</f>
        <v>#VALUE!</v>
      </c>
      <c r="T11" s="808" t="s">
        <v>853</v>
      </c>
      <c r="U11" s="808"/>
      <c r="Z11" s="4"/>
      <c r="AB11" s="788" t="s">
        <v>854</v>
      </c>
      <c r="AC11" s="788"/>
      <c r="AD11" s="788"/>
      <c r="AE11" s="788"/>
      <c r="AF11" s="788"/>
      <c r="AG11" s="788"/>
      <c r="AH11" s="788"/>
      <c r="AI11" s="788"/>
      <c r="AJ11" s="788"/>
      <c r="AK11" s="788"/>
      <c r="AL11" s="788"/>
      <c r="AM11" s="788"/>
    </row>
    <row r="12" spans="1:41" ht="15" customHeight="1" x14ac:dyDescent="0.25">
      <c r="C12" s="710"/>
      <c r="E12" s="84" t="s">
        <v>855</v>
      </c>
      <c r="J12" s="683" t="str" cm="1">
        <f t="array" aca="1" ref="J12" ca="1">"Evolução Física "&amp;CHOOSE(MATCH(RegimeExecucao,{"Unitário","Global"},0),"(Qtde.)","(%)")</f>
        <v>Evolução Física (Qtde.)</v>
      </c>
      <c r="K12" s="683"/>
      <c r="L12" s="683"/>
      <c r="M12" s="683" t="s">
        <v>856</v>
      </c>
      <c r="N12" s="683"/>
      <c r="O12" s="683"/>
      <c r="Q12" s="683" t="str" cm="1">
        <f t="array" aca="1" ref="Q12" ca="1">"Aferido (CAIXA) "&amp;CHOOSE(MATCH(RegimeExecucao,{"Unitário","Global"},0),"(Qtde.)","(%)")</f>
        <v>Aferido (CAIXA) (Qtde.)</v>
      </c>
      <c r="R12" s="683"/>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4" t="str">
        <f>"Objeto do CTEF: "&amp;Import.DescLote</f>
        <v>Objeto do CTEF: Pavimentação Asfáltica Rua Padre Pedro Marcelino Copetti</v>
      </c>
      <c r="E15" s="814"/>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IF(OR(ACOMPANHAMENTO="PLE",TIPOORCAMENTO="Proposto"),0,SUMIF(OFFSET($A15,1,0):$A$44,"S",OFFSET(M15,1,0):M$44))</f>
        <v>0</v>
      </c>
      <c r="N15" s="341">
        <f ca="1">O15-M15</f>
        <v>0</v>
      </c>
      <c r="O15" s="341" cm="1">
        <f t="array" aca="1" ref="O15" ca="1">IF(OR(ACOMPANHAMENTO="PLE",TIPOORCAMENTO="Proposto"),0,SUMIF(OFFSET($A15,1,0):$A$44,"S",OFFSET(O15,1,0):O$44))</f>
        <v>0</v>
      </c>
      <c r="Q15" s="342"/>
      <c r="R15" s="342"/>
      <c r="T15" s="343"/>
      <c r="U15" s="344"/>
      <c r="V15" s="344"/>
      <c r="W15" s="344"/>
      <c r="X15" s="344"/>
      <c r="Y15" s="344"/>
      <c r="Z15" s="345"/>
      <c r="AB15" s="810" t="str" cm="1">
        <f t="array" aca="1" ref="AB15" ca="1">"Preencher abaixo com a "&amp;CHOOSE(MATCH(RegimeExecucao,{"Unitário","Global"},0),"QUANTIDADE","PORCENTAGEM")&amp;" executada no PERÍODO"</f>
        <v>Preencher abaixo com a QUANTIDADE executada no PERÍODO</v>
      </c>
      <c r="AC15" s="810"/>
      <c r="AD15" s="810"/>
      <c r="AE15" s="810"/>
      <c r="AF15" s="810"/>
      <c r="AG15" s="810"/>
      <c r="AH15" s="810"/>
      <c r="AI15" s="810"/>
      <c r="AJ15" s="810"/>
      <c r="AK15" s="810"/>
      <c r="AL15" s="810"/>
      <c r="AM15" s="810"/>
    </row>
    <row r="16" spans="1:41" x14ac:dyDescent="0.2">
      <c r="A16">
        <f ca="1">ORÇAMENTO!C16</f>
        <v>1</v>
      </c>
      <c r="B16">
        <f ca="1">ORÇAMENTO!D16</f>
        <v>28</v>
      </c>
      <c r="C16" s="114" t="str">
        <f t="shared" ref="C16:C43" ca="1" si="1">IF(OR($I16&gt;0,$A16=1,$A16=2,$A16=3,$A16=4),"F","")</f>
        <v>F</v>
      </c>
      <c r="D16" s="117" t="str">
        <f ca="1">ORÇAMENTO!O16</f>
        <v>1.</v>
      </c>
      <c r="E16" s="163" t="str">
        <f t="shared" ref="E16:E43" si="2">ORÇAMENTO.Descricao</f>
        <v>Pavimentação em CBUQ Rua Padre Pedro Marcelino Copetti</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424489.11</v>
      </c>
      <c r="J16" s="333" cm="1">
        <f t="array" aca="1" ref="J16" ca="1">IF($A16="S",IF(CAIXA.Modo,BM.AFAnterior,BM.MEDAnterior),IF(AND(RegimeExecucao="Global",$I16&gt;0,COUNTIF($AB$13:$AM$13,BM.medicao-1)&gt;0),M16/$I16*100,0))</f>
        <v>0</v>
      </c>
      <c r="K16" s="122">
        <f t="shared" ref="K16:K43"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43" ca="1" si="4">O16-M16</f>
        <v>0</v>
      </c>
      <c r="O16" s="125" cm="1">
        <f t="array" aca="1" ref="O16" ca="1">IF($A16="S",VTOTALBM,IF($A16=0,0,ROUND(SomaAgrupBM,15-13*ORÇAMENTO!$AF$11)))</f>
        <v>0</v>
      </c>
      <c r="Q16" s="337"/>
      <c r="R16" s="338"/>
      <c r="T16" s="117" t="str">
        <f t="shared" ref="T16:T43" ca="1" si="5">IF($W16&gt;0,$D16,"")</f>
        <v/>
      </c>
      <c r="U16" s="163" t="str">
        <f t="shared" ref="U16:U43"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43"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4</v>
      </c>
      <c r="C17" s="114" t="str">
        <f t="shared" ca="1" si="1"/>
        <v>F</v>
      </c>
      <c r="D17" s="117" t="str">
        <f ca="1">ORÇAMENTO!O17</f>
        <v>1.1.</v>
      </c>
      <c r="E17" s="163" t="str">
        <f t="shared" si="2"/>
        <v>Serviços Preliminares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14890.35</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4" t="str">
        <f t="shared" ca="1" si="1"/>
        <v>F</v>
      </c>
      <c r="D18" s="117" t="str">
        <f ca="1">ORÇAMENTO!O18</f>
        <v>1.1.1.</v>
      </c>
      <c r="E18" s="163" t="str">
        <f t="shared" ca="1" si="2"/>
        <v>(Código não identificado nas referências)</v>
      </c>
      <c r="F18" s="164" t="str" cm="1">
        <f t="array" aca="1" ref="F18" ca="1">IF(RegimeExecucao="Global","",ORÇAMENTO.Unidade)</f>
        <v>M2</v>
      </c>
      <c r="G18" s="122" cm="1">
        <f t="array" aca="1" ref="G18" ca="1">IF(RegimeExecucao="Global","",ORÇAMENTO!T18)</f>
        <v>6.48</v>
      </c>
      <c r="H18" s="122" cm="1">
        <f t="array" aca="1" ref="H18" ca="1">IF(RegimeExecucao="Global","",ORÇAMENTO!W18)</f>
        <v>564.86</v>
      </c>
      <c r="I18" s="125">
        <f ca="1">ORÇAMENTO!X18</f>
        <v>3660.29</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t="shared" ca="1" si="1"/>
        <v>F</v>
      </c>
      <c r="D19" s="117" t="str">
        <f ca="1">ORÇAMENTO!O19</f>
        <v>1.1.2.</v>
      </c>
      <c r="E19" s="163" t="str">
        <f t="shared" ca="1" si="2"/>
        <v>(Código não identificado nas referências)</v>
      </c>
      <c r="F19" s="164" t="str" cm="1">
        <f t="array" aca="1" ref="F19" ca="1">IF(RegimeExecucao="Global","",ORÇAMENTO.Unidade)</f>
        <v>UN</v>
      </c>
      <c r="G19" s="122" cm="1">
        <f t="array" aca="1" ref="G19" ca="1">IF(RegimeExecucao="Global","",ORÇAMENTO!T19)</f>
        <v>2</v>
      </c>
      <c r="H19" s="122" cm="1">
        <f t="array" aca="1" ref="H19" ca="1">IF(RegimeExecucao="Global","",ORÇAMENTO!W19)</f>
        <v>169.66</v>
      </c>
      <c r="I19" s="125">
        <f ca="1">ORÇAMENTO!X19</f>
        <v>339.32</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4" t="str">
        <f ca="1">IF(OR($I20&gt;0,$A20=1,$A20=2,$A20=3,$A20=4),"F","")</f>
        <v>F</v>
      </c>
      <c r="D20" s="117" t="str">
        <f ca="1">ORÇAMENTO!O20</f>
        <v>1.1.3.</v>
      </c>
      <c r="E20" s="163" t="str">
        <f ca="1">ORÇAMENTO.Descricao</f>
        <v>(Código não identificado nas referências)</v>
      </c>
      <c r="F20" s="164" t="str" cm="1">
        <f t="array" aca="1" ref="F20" ca="1">IF(RegimeExecucao="Global","",ORÇAMENTO.Unidade)</f>
        <v>UN</v>
      </c>
      <c r="G20" s="122" cm="1">
        <f t="array" aca="1" ref="G20" ca="1">IF(RegimeExecucao="Global","",ORÇAMENTO!T20)</f>
        <v>1</v>
      </c>
      <c r="H20" s="122" cm="1">
        <f t="array" aca="1" ref="H20" ca="1">IF(RegimeExecucao="Global","",ORÇAMENTO!W20)</f>
        <v>10890.73</v>
      </c>
      <c r="I20" s="125">
        <f ca="1">ORÇAMENTO!X20</f>
        <v>10890.74</v>
      </c>
      <c r="J20" s="333" cm="1">
        <f t="array" aca="1" ref="J20" ca="1">IF($A20="S",IF(CAIXA.Modo,BM.AFAnterior,BM.MEDAnterior),IF(AND(RegimeExecucao="Global",$I20&gt;0,COUNTIF($AB$13:$AM$13,BM.medicao-1)&gt;0),M20/$I20*100,0))</f>
        <v>0</v>
      </c>
      <c r="K20" s="122">
        <f ca="1">L20-J20</f>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ca="1">O20-M20</f>
        <v>0</v>
      </c>
      <c r="O20" s="125" cm="1">
        <f t="array" aca="1" ref="O20" ca="1">IF($A20="S",VTOTALBM,IF($A20=0,0,ROUND(SomaAgrupBM,15-13*ORÇAMENTO!$AF$11)))</f>
        <v>0</v>
      </c>
      <c r="Q20" s="337"/>
      <c r="R20" s="338"/>
      <c r="T20" s="117" t="str">
        <f ca="1">IF($W20&gt;0,$D20,"")</f>
        <v/>
      </c>
      <c r="U20" s="163" t="str">
        <f ca="1">IF($W20&gt;0,$E20,"")</f>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ca="1">AO20-O20</f>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6</v>
      </c>
      <c r="C21" s="114" t="str">
        <f t="shared" ca="1" si="1"/>
        <v>F</v>
      </c>
      <c r="D21" s="117" t="str">
        <f ca="1">ORÇAMENTO!O21</f>
        <v>1.2.</v>
      </c>
      <c r="E21" s="163" t="str">
        <f t="shared" si="2"/>
        <v>Administração Local</v>
      </c>
      <c r="F21" s="164" t="str" cm="1">
        <f t="array" aca="1" ref="F21" ca="1">IF(RegimeExecucao="Global","",ORÇAMENTO.Unidade)</f>
        <v>-</v>
      </c>
      <c r="G21" s="122" cm="1">
        <f t="array" aca="1" ref="G21" ca="1">IF(RegimeExecucao="Global","",ORÇAMENTO!T21)</f>
        <v>0</v>
      </c>
      <c r="H21" s="122" cm="1">
        <f t="array" aca="1" ref="H21" ca="1">IF(RegimeExecucao="Global","",ORÇAMENTO!W21)</f>
        <v>0</v>
      </c>
      <c r="I21" s="125">
        <f ca="1">ORÇAMENTO!X21</f>
        <v>13516.45</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t="str">
        <f ca="1">ORÇAMENTO!C22</f>
        <v>S</v>
      </c>
      <c r="B22">
        <f ca="1">ORÇAMENTO!D22</f>
        <v>0</v>
      </c>
      <c r="C22" s="114" t="str">
        <f t="shared" ca="1" si="1"/>
        <v>F</v>
      </c>
      <c r="D22" s="117" t="str">
        <f ca="1">ORÇAMENTO!O22</f>
        <v>1.2.1.</v>
      </c>
      <c r="E22" s="163" t="str">
        <f t="shared" ca="1" si="2"/>
        <v>(Código não identificado nas referências)</v>
      </c>
      <c r="F22" s="164" t="str" cm="1">
        <f t="array" aca="1" ref="F22" ca="1">IF(RegimeExecucao="Global","",ORÇAMENTO.Unidade)</f>
        <v>-</v>
      </c>
      <c r="G22" s="122" cm="1">
        <f t="array" aca="1" ref="G22" ca="1">IF(RegimeExecucao="Global","",ORÇAMENTO!T22)</f>
        <v>60</v>
      </c>
      <c r="H22" s="122" cm="1">
        <f t="array" aca="1" ref="H22" ca="1">IF(RegimeExecucao="Global","",ORÇAMENTO!W22)</f>
        <v>59.41</v>
      </c>
      <c r="I22" s="125">
        <f ca="1">ORÇAMENTO!X22</f>
        <v>3564.6</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t="str">
        <f ca="1">ORÇAMENTO!C23</f>
        <v>S</v>
      </c>
      <c r="B23">
        <f ca="1">ORÇAMENTO!D23</f>
        <v>0</v>
      </c>
      <c r="C23" s="114" t="str">
        <f t="shared" ca="1" si="1"/>
        <v>F</v>
      </c>
      <c r="D23" s="117" t="str">
        <f ca="1">ORÇAMENTO!O23</f>
        <v>1.2.2.</v>
      </c>
      <c r="E23" s="163" t="str">
        <f t="shared" ca="1" si="2"/>
        <v>(Código não identificado nas referências)</v>
      </c>
      <c r="F23" s="164" t="str" cm="1">
        <f t="array" aca="1" ref="F23" ca="1">IF(RegimeExecucao="Global","",ORÇAMENTO.Unidade)</f>
        <v>H</v>
      </c>
      <c r="G23" s="122" cm="1">
        <f t="array" aca="1" ref="G23" ca="1">IF(RegimeExecucao="Global","",ORÇAMENTO!T23)</f>
        <v>60</v>
      </c>
      <c r="H23" s="122" cm="1">
        <f t="array" aca="1" ref="H23" ca="1">IF(RegimeExecucao="Global","",ORÇAMENTO!W23)</f>
        <v>30.27</v>
      </c>
      <c r="I23" s="125">
        <f ca="1">ORÇAMENTO!X23</f>
        <v>1816.2</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25.5" x14ac:dyDescent="0.2">
      <c r="A24" t="str">
        <f ca="1">ORÇAMENTO!C24</f>
        <v>S</v>
      </c>
      <c r="B24">
        <f ca="1">ORÇAMENTO!D24</f>
        <v>0</v>
      </c>
      <c r="C24" s="114" t="str">
        <f t="shared" ca="1" si="1"/>
        <v>F</v>
      </c>
      <c r="D24" s="117" t="str">
        <f ca="1">ORÇAMENTO!O24</f>
        <v>1.2.3.</v>
      </c>
      <c r="E24" s="163" t="str">
        <f t="shared" ca="1" si="2"/>
        <v>(Código não identificado nas referências)</v>
      </c>
      <c r="F24" s="164" t="str" cm="1">
        <f t="array" aca="1" ref="F24" ca="1">IF(RegimeExecucao="Global","",ORÇAMENTO.Unidade)</f>
        <v>-</v>
      </c>
      <c r="G24" s="122" cm="1">
        <f t="array" aca="1" ref="G24" ca="1">IF(RegimeExecucao="Global","",ORÇAMENTO!T24)</f>
        <v>25</v>
      </c>
      <c r="H24" s="122" cm="1">
        <f t="array" aca="1" ref="H24" ca="1">IF(RegimeExecucao="Global","",ORÇAMENTO!W24)</f>
        <v>172.69</v>
      </c>
      <c r="I24" s="125">
        <f ca="1">ORÇAMENTO!X24</f>
        <v>4317.25</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t="str">
        <f ca="1">ORÇAMENTO!C25</f>
        <v>S</v>
      </c>
      <c r="B25">
        <f ca="1">ORÇAMENTO!D25</f>
        <v>0</v>
      </c>
      <c r="C25" s="114" t="str">
        <f t="shared" ca="1" si="1"/>
        <v>F</v>
      </c>
      <c r="D25" s="117" t="str">
        <f ca="1">ORÇAMENTO!O25</f>
        <v>1.2.4.</v>
      </c>
      <c r="E25" s="163" t="str">
        <f t="shared" ca="1" si="2"/>
        <v>(Código não identificado nas referências)</v>
      </c>
      <c r="F25" s="164" t="str" cm="1">
        <f t="array" aca="1" ref="F25" ca="1">IF(RegimeExecucao="Global","",ORÇAMENTO.Unidade)</f>
        <v>-</v>
      </c>
      <c r="G25" s="122" cm="1">
        <f t="array" aca="1" ref="G25" ca="1">IF(RegimeExecucao="Global","",ORÇAMENTO!T25)</f>
        <v>40</v>
      </c>
      <c r="H25" s="122" cm="1">
        <f t="array" aca="1" ref="H25" ca="1">IF(RegimeExecucao="Global","",ORÇAMENTO!W25)</f>
        <v>43.99</v>
      </c>
      <c r="I25" s="125">
        <f ca="1">ORÇAMENTO!X25</f>
        <v>1759.6</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t="str">
        <f ca="1">ORÇAMENTO!C26</f>
        <v>S</v>
      </c>
      <c r="B26">
        <f ca="1">ORÇAMENTO!D26</f>
        <v>0</v>
      </c>
      <c r="C26" s="114" t="str">
        <f t="shared" ca="1" si="1"/>
        <v>F</v>
      </c>
      <c r="D26" s="117" t="str">
        <f ca="1">ORÇAMENTO!O26</f>
        <v>1.2.5.</v>
      </c>
      <c r="E26" s="163" t="str">
        <f t="shared" ca="1" si="2"/>
        <v>(Código não identificado nas referências)</v>
      </c>
      <c r="F26" s="164" t="str" cm="1">
        <f t="array" aca="1" ref="F26" ca="1">IF(RegimeExecucao="Global","",ORÇAMENTO.Unidade)</f>
        <v>-</v>
      </c>
      <c r="G26" s="122" cm="1">
        <f t="array" aca="1" ref="G26" ca="1">IF(RegimeExecucao="Global","",ORÇAMENTO!T26)</f>
        <v>40</v>
      </c>
      <c r="H26" s="122" cm="1">
        <f t="array" aca="1" ref="H26" ca="1">IF(RegimeExecucao="Global","",ORÇAMENTO!W26)</f>
        <v>51.47</v>
      </c>
      <c r="I26" s="125">
        <f ca="1">ORÇAMENTO!X26</f>
        <v>2058.8000000000002</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f ca="1">ORÇAMENTO!C27</f>
        <v>2</v>
      </c>
      <c r="B27">
        <f ca="1">ORÇAMENTO!D27</f>
        <v>3</v>
      </c>
      <c r="C27" s="114" t="str">
        <f t="shared" ca="1" si="1"/>
        <v>F</v>
      </c>
      <c r="D27" s="117" t="str">
        <f ca="1">ORÇAMENTO!O27</f>
        <v>1.3.</v>
      </c>
      <c r="E27" s="163" t="str">
        <f t="shared" si="2"/>
        <v>Terraplenagem</v>
      </c>
      <c r="F27" s="164" t="str" cm="1">
        <f t="array" aca="1" ref="F27" ca="1">IF(RegimeExecucao="Global","",ORÇAMENTO.Unidade)</f>
        <v>-</v>
      </c>
      <c r="G27" s="122" cm="1">
        <f t="array" aca="1" ref="G27" ca="1">IF(RegimeExecucao="Global","",ORÇAMENTO!T27)</f>
        <v>0</v>
      </c>
      <c r="H27" s="122" cm="1">
        <f t="array" aca="1" ref="H27" ca="1">IF(RegimeExecucao="Global","",ORÇAMENTO!W27)</f>
        <v>0</v>
      </c>
      <c r="I27" s="125">
        <f ca="1">ORÇAMENTO!X27</f>
        <v>8450.51</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38.25" x14ac:dyDescent="0.2">
      <c r="A28" t="str">
        <f ca="1">ORÇAMENTO!C28</f>
        <v>S</v>
      </c>
      <c r="B28">
        <f ca="1">ORÇAMENTO!D28</f>
        <v>0</v>
      </c>
      <c r="C28" s="114" t="str">
        <f ca="1">IF(OR($I28&gt;0,$A28=1,$A28=2,$A28=3,$A28=4),"F","")</f>
        <v>F</v>
      </c>
      <c r="D28" s="117" t="str">
        <f ca="1">ORÇAMENTO!O28</f>
        <v>1.3.1.</v>
      </c>
      <c r="E28" s="163" t="str">
        <f ca="1">ORÇAMENTO.Descricao</f>
        <v>(Código não identificado nas referências)</v>
      </c>
      <c r="F28" s="164" t="str" cm="1">
        <f t="array" aca="1" ref="F28" ca="1">IF(RegimeExecucao="Global","",ORÇAMENTO.Unidade)</f>
        <v>M3</v>
      </c>
      <c r="G28" s="122" cm="1">
        <f t="array" aca="1" ref="G28" ca="1">IF(RegimeExecucao="Global","",ORÇAMENTO!T28)</f>
        <v>657.64</v>
      </c>
      <c r="H28" s="122" cm="1">
        <f t="array" aca="1" ref="H28" ca="1">IF(RegimeExecucao="Global","",ORÇAMENTO!W28)</f>
        <v>7.24</v>
      </c>
      <c r="I28" s="125">
        <f ca="1">ORÇAMENTO!X28</f>
        <v>4761.3100000000004</v>
      </c>
      <c r="J28" s="333" cm="1">
        <f t="array" aca="1" ref="J28" ca="1">IF($A28="S",IF(CAIXA.Modo,BM.AFAnterior,BM.MEDAnterior),IF(AND(RegimeExecucao="Global",$I28&gt;0,COUNTIF($AB$13:$AM$13,BM.medicao-1)&gt;0),M28/$I28*100,0))</f>
        <v>0</v>
      </c>
      <c r="K28" s="122">
        <f ca="1">L28-J28</f>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ca="1">O28-M28</f>
        <v>0</v>
      </c>
      <c r="O28" s="125" cm="1">
        <f t="array" aca="1" ref="O28" ca="1">IF($A28="S",VTOTALBM,IF($A28=0,0,ROUND(SomaAgrupBM,15-13*ORÇAMENTO!$AF$11)))</f>
        <v>0</v>
      </c>
      <c r="Q28" s="337"/>
      <c r="R28" s="338"/>
      <c r="T28" s="117" t="str">
        <f ca="1">IF($W28&gt;0,$D28,"")</f>
        <v/>
      </c>
      <c r="U28" s="163" t="str">
        <f ca="1">IF($W28&gt;0,$E28,"")</f>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ca="1">AO28-O28</f>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t="str">
        <f ca="1">ORÇAMENTO!C29</f>
        <v>S</v>
      </c>
      <c r="B29">
        <f ca="1">ORÇAMENTO!D29</f>
        <v>0</v>
      </c>
      <c r="C29" s="114" t="str">
        <f t="shared" ca="1" si="1"/>
        <v>F</v>
      </c>
      <c r="D29" s="117" t="str">
        <f ca="1">ORÇAMENTO!O29</f>
        <v>1.3.2.</v>
      </c>
      <c r="E29" s="163" t="str">
        <f t="shared" ca="1" si="2"/>
        <v>(Código não identificado nas referências)</v>
      </c>
      <c r="F29" s="164" t="str" cm="1">
        <f t="array" aca="1" ref="F29" ca="1">IF(RegimeExecucao="Global","",ORÇAMENTO.Unidade)</f>
        <v>M2</v>
      </c>
      <c r="G29" s="122" cm="1">
        <f t="array" aca="1" ref="G29" ca="1">IF(RegimeExecucao="Global","",ORÇAMENTO!T29)</f>
        <v>1604</v>
      </c>
      <c r="H29" s="122" cm="1">
        <f t="array" aca="1" ref="H29" ca="1">IF(RegimeExecucao="Global","",ORÇAMENTO!W29)</f>
        <v>2.2999999999999998</v>
      </c>
      <c r="I29" s="125">
        <f ca="1">ORÇAMENTO!X29</f>
        <v>3689.2</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f ca="1">ORÇAMENTO!C30</f>
        <v>2</v>
      </c>
      <c r="B30">
        <f ca="1">ORÇAMENTO!D30</f>
        <v>7</v>
      </c>
      <c r="C30" s="114" t="str">
        <f t="shared" ca="1" si="1"/>
        <v>F</v>
      </c>
      <c r="D30" s="117" t="str">
        <f ca="1">ORÇAMENTO!O30</f>
        <v>1.4.</v>
      </c>
      <c r="E30" s="163" t="str">
        <f t="shared" si="2"/>
        <v xml:space="preserve">Pavimentação </v>
      </c>
      <c r="F30" s="164" t="str" cm="1">
        <f t="array" aca="1" ref="F30" ca="1">IF(RegimeExecucao="Global","",ORÇAMENTO.Unidade)</f>
        <v>-</v>
      </c>
      <c r="G30" s="122" cm="1">
        <f t="array" aca="1" ref="G30" ca="1">IF(RegimeExecucao="Global","",ORÇAMENTO!T30)</f>
        <v>0</v>
      </c>
      <c r="H30" s="122" cm="1">
        <f t="array" aca="1" ref="H30" ca="1">IF(RegimeExecucao="Global","",ORÇAMENTO!W30)</f>
        <v>0</v>
      </c>
      <c r="I30" s="125">
        <f ca="1">ORÇAMENTO!X30</f>
        <v>291740.62</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25.5" x14ac:dyDescent="0.2">
      <c r="A31" t="str">
        <f ca="1">ORÇAMENTO!C31</f>
        <v>S</v>
      </c>
      <c r="B31">
        <f ca="1">ORÇAMENTO!D31</f>
        <v>0</v>
      </c>
      <c r="C31" s="114" t="str">
        <f t="shared" ca="1" si="1"/>
        <v>F</v>
      </c>
      <c r="D31" s="117" t="str">
        <f ca="1">ORÇAMENTO!O31</f>
        <v>1.4.1.</v>
      </c>
      <c r="E31" s="163" t="str">
        <f t="shared" ca="1" si="2"/>
        <v>(Código não identificado nas referências)</v>
      </c>
      <c r="F31" s="164" t="str" cm="1">
        <f t="array" aca="1" ref="F31" ca="1">IF(RegimeExecucao="Global","",ORÇAMENTO.Unidade)</f>
        <v>M3</v>
      </c>
      <c r="G31" s="122" cm="1">
        <f t="array" aca="1" ref="G31" ca="1">IF(RegimeExecucao="Global","",ORÇAMENTO!T31)</f>
        <v>463.2</v>
      </c>
      <c r="H31" s="122" cm="1">
        <f t="array" aca="1" ref="H31" ca="1">IF(RegimeExecucao="Global","",ORÇAMENTO!W31)</f>
        <v>247.86</v>
      </c>
      <c r="I31" s="125">
        <f ca="1">ORÇAMENTO!X31</f>
        <v>114808.75</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ca="1" si="1"/>
        <v>F</v>
      </c>
      <c r="D32" s="117" t="str">
        <f ca="1">ORÇAMENTO!O32</f>
        <v>1.4.2.</v>
      </c>
      <c r="E32" s="163" t="str">
        <f t="shared" ca="1" si="2"/>
        <v>(Código não identificado nas referências)</v>
      </c>
      <c r="F32" s="164" t="str" cm="1">
        <f t="array" aca="1" ref="F32" ca="1">IF(RegimeExecucao="Global","",ORÇAMENTO.Unidade)</f>
        <v>M3</v>
      </c>
      <c r="G32" s="122" cm="1">
        <f t="array" aca="1" ref="G32" ca="1">IF(RegimeExecucao="Global","",ORÇAMENTO!T32)</f>
        <v>218.1</v>
      </c>
      <c r="H32" s="122" cm="1">
        <f t="array" aca="1" ref="H32" ca="1">IF(RegimeExecucao="Global","",ORÇAMENTO!W32)</f>
        <v>298.20999999999998</v>
      </c>
      <c r="I32" s="125">
        <f ca="1">ORÇAMENTO!X32</f>
        <v>65039.6</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t="str">
        <f ca="1">ORÇAMENTO!C33</f>
        <v>S</v>
      </c>
      <c r="B33">
        <f ca="1">ORÇAMENTO!D33</f>
        <v>0</v>
      </c>
      <c r="C33" s="114" t="str">
        <f t="shared" ca="1" si="1"/>
        <v>F</v>
      </c>
      <c r="D33" s="117" t="str">
        <f ca="1">ORÇAMENTO!O33</f>
        <v>1.4.3.</v>
      </c>
      <c r="E33" s="163" t="str">
        <f t="shared" ca="1" si="2"/>
        <v>(Código não identificado nas referências)</v>
      </c>
      <c r="F33" s="164" t="str" cm="1">
        <f t="array" aca="1" ref="F33" ca="1">IF(RegimeExecucao="Global","",ORÇAMENTO.Unidade)</f>
        <v>M2</v>
      </c>
      <c r="G33" s="122" cm="1">
        <f t="array" aca="1" ref="G33" ca="1">IF(RegimeExecucao="Global","",ORÇAMENTO!T33)</f>
        <v>1424</v>
      </c>
      <c r="H33" s="122" cm="1">
        <f t="array" aca="1" ref="H33" ca="1">IF(RegimeExecucao="Global","",ORÇAMENTO!W33)</f>
        <v>0.75</v>
      </c>
      <c r="I33" s="125">
        <f ca="1">ORÇAMENTO!X33</f>
        <v>1068</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t="str">
        <f ca="1">ORÇAMENTO!C34</f>
        <v>S</v>
      </c>
      <c r="B34">
        <f ca="1">ORÇAMENTO!D34</f>
        <v>0</v>
      </c>
      <c r="C34" s="114" t="str">
        <f t="shared" ca="1" si="1"/>
        <v>F</v>
      </c>
      <c r="D34" s="117" t="str">
        <f ca="1">ORÇAMENTO!O34</f>
        <v>1.4.4.</v>
      </c>
      <c r="E34" s="163" t="str">
        <f t="shared" ca="1" si="2"/>
        <v>(Código não identificado nas referências)</v>
      </c>
      <c r="F34" s="164" t="str" cm="1">
        <f t="array" aca="1" ref="F34" ca="1">IF(RegimeExecucao="Global","",ORÇAMENTO.Unidade)</f>
        <v>M2</v>
      </c>
      <c r="G34" s="122" cm="1">
        <f t="array" aca="1" ref="G34" ca="1">IF(RegimeExecucao="Global","",ORÇAMENTO!T34)</f>
        <v>1424</v>
      </c>
      <c r="H34" s="122" cm="1">
        <f t="array" aca="1" ref="H34" ca="1">IF(RegimeExecucao="Global","",ORÇAMENTO!W34)</f>
        <v>0.52</v>
      </c>
      <c r="I34" s="125">
        <f ca="1">ORÇAMENTO!X34</f>
        <v>740.48</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x14ac:dyDescent="0.2">
      <c r="A35" t="str">
        <f ca="1">ORÇAMENTO!C35</f>
        <v>S</v>
      </c>
      <c r="B35">
        <f ca="1">ORÇAMENTO!D35</f>
        <v>0</v>
      </c>
      <c r="C35" s="114" t="str">
        <f t="shared" ca="1" si="1"/>
        <v>F</v>
      </c>
      <c r="D35" s="117" t="str">
        <f ca="1">ORÇAMENTO!O35</f>
        <v>1.4.5.</v>
      </c>
      <c r="E35" s="163" t="str">
        <f t="shared" ca="1" si="2"/>
        <v>(Código não identificado nas referências)</v>
      </c>
      <c r="F35" s="164" t="str" cm="1">
        <f t="array" aca="1" ref="F35" ca="1">IF(RegimeExecucao="Global","",ORÇAMENTO.Unidade)</f>
        <v>T</v>
      </c>
      <c r="G35" s="122" cm="1">
        <f t="array" aca="1" ref="G35" ca="1">IF(RegimeExecucao="Global","",ORÇAMENTO!T35)</f>
        <v>216.44</v>
      </c>
      <c r="H35" s="122" cm="1">
        <f t="array" aca="1" ref="H35" ca="1">IF(RegimeExecucao="Global","",ORÇAMENTO!W35)</f>
        <v>238.2</v>
      </c>
      <c r="I35" s="125">
        <f ca="1">ORÇAMENTO!X35</f>
        <v>51556.01</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4" t="str">
        <f ca="1">IF(OR($I36&gt;0,$A36=1,$A36=2,$A36=3,$A36=4),"F","")</f>
        <v>F</v>
      </c>
      <c r="D36" s="117" t="str">
        <f ca="1">ORÇAMENTO!O36</f>
        <v>1.4.6.</v>
      </c>
      <c r="E36" s="163" t="str">
        <f ca="1">ORÇAMENTO.Descricao</f>
        <v>(Código não identificado nas referências)</v>
      </c>
      <c r="F36" s="164" t="str" cm="1">
        <f t="array" aca="1" ref="F36" ca="1">IF(RegimeExecucao="Global","",ORÇAMENTO.Unidade)</f>
        <v>TXKM</v>
      </c>
      <c r="G36" s="122" cm="1">
        <f t="array" aca="1" ref="G36" ca="1">IF(RegimeExecucao="Global","",ORÇAMENTO!T36)</f>
        <v>57380.18</v>
      </c>
      <c r="H36" s="122" cm="1">
        <f t="array" aca="1" ref="H36" ca="1">IF(RegimeExecucao="Global","",ORÇAMENTO!W36)</f>
        <v>1.02</v>
      </c>
      <c r="I36" s="125">
        <f ca="1">ORÇAMENTO!X36</f>
        <v>58527.78</v>
      </c>
      <c r="J36" s="333" cm="1">
        <f t="array" aca="1" ref="J36" ca="1">IF($A36="S",IF(CAIXA.Modo,BM.AFAnterior,BM.MEDAnterior),IF(AND(RegimeExecucao="Global",$I36&gt;0,COUNTIF($AB$13:$AM$13,BM.medicao-1)&gt;0),M36/$I36*100,0))</f>
        <v>0</v>
      </c>
      <c r="K36" s="122">
        <f ca="1">L36-J36</f>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ca="1">O36-M36</f>
        <v>0</v>
      </c>
      <c r="O36" s="125" cm="1">
        <f t="array" aca="1" ref="O36" ca="1">IF($A36="S",VTOTALBM,IF($A36=0,0,ROUND(SomaAgrupBM,15-13*ORÇAMENTO!$AF$11)))</f>
        <v>0</v>
      </c>
      <c r="Q36" s="337"/>
      <c r="R36" s="338"/>
      <c r="T36" s="117" t="str">
        <f ca="1">IF($W36&gt;0,$D36,"")</f>
        <v/>
      </c>
      <c r="U36" s="163" t="str">
        <f ca="1">IF($W36&gt;0,$E36,"")</f>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ca="1">AO36-O36</f>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x14ac:dyDescent="0.2">
      <c r="A37">
        <f ca="1">ORÇAMENTO!C37</f>
        <v>2</v>
      </c>
      <c r="B37">
        <f ca="1">ORÇAMENTO!D37</f>
        <v>5</v>
      </c>
      <c r="C37" s="114" t="str">
        <f t="shared" ca="1" si="1"/>
        <v>F</v>
      </c>
      <c r="D37" s="117" t="str">
        <f ca="1">ORÇAMENTO!O37</f>
        <v>1.5.</v>
      </c>
      <c r="E37" s="163" t="str">
        <f t="shared" si="2"/>
        <v>Materiais Asfálticos BDI 15,00%</v>
      </c>
      <c r="F37" s="164" t="str" cm="1">
        <f t="array" aca="1" ref="F37" ca="1">IF(RegimeExecucao="Global","",ORÇAMENTO.Unidade)</f>
        <v>-</v>
      </c>
      <c r="G37" s="122" cm="1">
        <f t="array" aca="1" ref="G37" ca="1">IF(RegimeExecucao="Global","",ORÇAMENTO!T37)</f>
        <v>0</v>
      </c>
      <c r="H37" s="122" cm="1">
        <f t="array" aca="1" ref="H37" ca="1">IF(RegimeExecucao="Global","",ORÇAMENTO!W37)</f>
        <v>0</v>
      </c>
      <c r="I37" s="125">
        <f ca="1">ORÇAMENTO!X37</f>
        <v>93104.78</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ca="1" si="1"/>
        <v>F</v>
      </c>
      <c r="D38" s="117" t="str">
        <f ca="1">ORÇAMENTO!O38</f>
        <v>1.5.1.</v>
      </c>
      <c r="E38" s="163" t="str">
        <f t="shared" ca="1" si="2"/>
        <v>(Código não identificado nas referências)</v>
      </c>
      <c r="F38" s="164" t="str" cm="1">
        <f t="array" aca="1" ref="F38" ca="1">IF(RegimeExecucao="Global","",ORÇAMENTO.Unidade)</f>
        <v>-</v>
      </c>
      <c r="G38" s="122" cm="1">
        <f t="array" aca="1" ref="G38" ca="1">IF(RegimeExecucao="Global","",ORÇAMENTO!T38)</f>
        <v>1.71</v>
      </c>
      <c r="H38" s="122" cm="1">
        <f t="array" aca="1" ref="H38" ca="1">IF(RegimeExecucao="Global","",ORÇAMENTO!W38)</f>
        <v>4935.8</v>
      </c>
      <c r="I38" s="125">
        <f ca="1">ORÇAMENTO!X38</f>
        <v>8440.2199999999993</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4" t="str">
        <f t="shared" ca="1" si="1"/>
        <v>F</v>
      </c>
      <c r="D39" s="117" t="str">
        <f ca="1">ORÇAMENTO!O39</f>
        <v>1.5.2.</v>
      </c>
      <c r="E39" s="163" t="str">
        <f t="shared" ca="1" si="2"/>
        <v>(Código não identificado nas referências)</v>
      </c>
      <c r="F39" s="164" t="str" cm="1">
        <f t="array" aca="1" ref="F39" ca="1">IF(RegimeExecucao="Global","",ORÇAMENTO.Unidade)</f>
        <v>-</v>
      </c>
      <c r="G39" s="122" cm="1">
        <f t="array" aca="1" ref="G39" ca="1">IF(RegimeExecucao="Global","",ORÇAMENTO!T39)</f>
        <v>0.71</v>
      </c>
      <c r="H39" s="122" cm="1">
        <f t="array" aca="1" ref="H39" ca="1">IF(RegimeExecucao="Global","",ORÇAMENTO!W39)</f>
        <v>4953.43</v>
      </c>
      <c r="I39" s="125">
        <f ca="1">ORÇAMENTO!X39</f>
        <v>3516.94</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t="str">
        <f ca="1">ORÇAMENTO!C40</f>
        <v>S</v>
      </c>
      <c r="B40">
        <f ca="1">ORÇAMENTO!D40</f>
        <v>0</v>
      </c>
      <c r="C40" s="114" t="str">
        <f t="shared" ca="1" si="1"/>
        <v>F</v>
      </c>
      <c r="D40" s="117" t="str">
        <f ca="1">ORÇAMENTO!O40</f>
        <v>1.5.3.</v>
      </c>
      <c r="E40" s="163" t="str">
        <f t="shared" ca="1" si="2"/>
        <v>(Código não identificado nas referências)</v>
      </c>
      <c r="F40" s="164" t="str" cm="1">
        <f t="array" aca="1" ref="F40" ca="1">IF(RegimeExecucao="Global","",ORÇAMENTO.Unidade)</f>
        <v>-</v>
      </c>
      <c r="G40" s="122" cm="1">
        <f t="array" aca="1" ref="G40" ca="1">IF(RegimeExecucao="Global","",ORÇAMENTO!T40)</f>
        <v>10.82</v>
      </c>
      <c r="H40" s="122" cm="1">
        <f t="array" aca="1" ref="H40" ca="1">IF(RegimeExecucao="Global","",ORÇAMENTO!W40)</f>
        <v>6509.61</v>
      </c>
      <c r="I40" s="125">
        <f ca="1">ORÇAMENTO!X40</f>
        <v>70433.98</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25.5" x14ac:dyDescent="0.2">
      <c r="A41" t="str">
        <f ca="1">ORÇAMENTO!C41</f>
        <v>S</v>
      </c>
      <c r="B41">
        <f ca="1">ORÇAMENTO!D41</f>
        <v>0</v>
      </c>
      <c r="C41" s="114" t="str">
        <f ca="1">IF(OR($I41&gt;0,$A41=1,$A41=2,$A41=3,$A41=4),"F","")</f>
        <v>F</v>
      </c>
      <c r="D41" s="117" t="str">
        <f ca="1">ORÇAMENTO!O41</f>
        <v>1.5.4.</v>
      </c>
      <c r="E41" s="163" t="str">
        <f ca="1">ORÇAMENTO.Descricao</f>
        <v>(Código não identificado nas referências)</v>
      </c>
      <c r="F41" s="164" t="str" cm="1">
        <f t="array" aca="1" ref="F41" ca="1">IF(RegimeExecucao="Global","",ORÇAMENTO.Unidade)</f>
        <v>TXKM</v>
      </c>
      <c r="G41" s="122" cm="1">
        <f t="array" aca="1" ref="G41" ca="1">IF(RegimeExecucao="Global","",ORÇAMENTO!T41)</f>
        <v>3895.87</v>
      </c>
      <c r="H41" s="122" cm="1">
        <f t="array" aca="1" ref="H41" ca="1">IF(RegimeExecucao="Global","",ORÇAMENTO!W41)</f>
        <v>2.75</v>
      </c>
      <c r="I41" s="125">
        <f ca="1">ORÇAMENTO!X41</f>
        <v>10713.64</v>
      </c>
      <c r="J41" s="333" cm="1">
        <f t="array" aca="1" ref="J41" ca="1">IF($A41="S",IF(CAIXA.Modo,BM.AFAnterior,BM.MEDAnterior),IF(AND(RegimeExecucao="Global",$I41&gt;0,COUNTIF($AB$13:$AM$13,BM.medicao-1)&gt;0),M41/$I41*100,0))</f>
        <v>0</v>
      </c>
      <c r="K41" s="122">
        <f ca="1">L41-J41</f>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ca="1">O41-M41</f>
        <v>0</v>
      </c>
      <c r="O41" s="125" cm="1">
        <f t="array" aca="1" ref="O41" ca="1">IF($A41="S",VTOTALBM,IF($A41=0,0,ROUND(SomaAgrupBM,15-13*ORÇAMENTO!$AF$11)))</f>
        <v>0</v>
      </c>
      <c r="Q41" s="337"/>
      <c r="R41" s="338"/>
      <c r="T41" s="117" t="str">
        <f ca="1">IF($W41&gt;0,$D41,"")</f>
        <v/>
      </c>
      <c r="U41" s="163" t="str">
        <f ca="1">IF($W41&gt;0,$E41,"")</f>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ca="1">AO41-O41</f>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x14ac:dyDescent="0.2">
      <c r="A42">
        <f ca="1">ORÇAMENTO!C42</f>
        <v>2</v>
      </c>
      <c r="B42">
        <f ca="1">ORÇAMENTO!D42</f>
        <v>2</v>
      </c>
      <c r="C42" s="114" t="str">
        <f t="shared" ca="1" si="1"/>
        <v>F</v>
      </c>
      <c r="D42" s="117" t="str">
        <f ca="1">ORÇAMENTO!O42</f>
        <v>1.6.</v>
      </c>
      <c r="E42" s="163" t="str">
        <f t="shared" si="2"/>
        <v>Sinalização Viária</v>
      </c>
      <c r="F42" s="164" t="str" cm="1">
        <f t="array" aca="1" ref="F42" ca="1">IF(RegimeExecucao="Global","",ORÇAMENTO.Unidade)</f>
        <v>-</v>
      </c>
      <c r="G42" s="122" cm="1">
        <f t="array" aca="1" ref="G42" ca="1">IF(RegimeExecucao="Global","",ORÇAMENTO!T42)</f>
        <v>0</v>
      </c>
      <c r="H42" s="122" cm="1">
        <f t="array" aca="1" ref="H42" ca="1">IF(RegimeExecucao="Global","",ORÇAMENTO!W42)</f>
        <v>0</v>
      </c>
      <c r="I42" s="125">
        <f ca="1">ORÇAMENTO!X42</f>
        <v>2786.4</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t="str">
        <f ca="1">ORÇAMENTO!C43</f>
        <v>S</v>
      </c>
      <c r="B43">
        <f ca="1">ORÇAMENTO!D43</f>
        <v>0</v>
      </c>
      <c r="C43" s="114" t="str">
        <f t="shared" ca="1" si="1"/>
        <v>F</v>
      </c>
      <c r="D43" s="117" t="str">
        <f ca="1">ORÇAMENTO!O43</f>
        <v>1.6.1.</v>
      </c>
      <c r="E43" s="163" t="str">
        <f t="shared" ca="1" si="2"/>
        <v>(Código não identificado nas referências)</v>
      </c>
      <c r="F43" s="164" t="str" cm="1">
        <f t="array" aca="1" ref="F43" ca="1">IF(RegimeExecucao="Global","",ORÇAMENTO.Unidade)</f>
        <v>M2</v>
      </c>
      <c r="G43" s="122" cm="1">
        <f t="array" aca="1" ref="G43" ca="1">IF(RegimeExecucao="Global","",ORÇAMENTO!T43)</f>
        <v>80</v>
      </c>
      <c r="H43" s="122" cm="1">
        <f t="array" aca="1" ref="H43" ca="1">IF(RegimeExecucao="Global","",ORÇAMENTO!W43)</f>
        <v>34.83</v>
      </c>
      <c r="I43" s="125">
        <f ca="1">ORÇAMENTO!X43</f>
        <v>2786.4</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5.0999999999999996" customHeight="1" x14ac:dyDescent="0.2">
      <c r="C44" s="114" t="s">
        <v>536</v>
      </c>
      <c r="D44" s="618"/>
      <c r="E44" s="619"/>
      <c r="F44" s="619"/>
      <c r="G44" s="619"/>
      <c r="H44" s="619"/>
      <c r="I44" s="419"/>
      <c r="J44" s="618"/>
      <c r="K44" s="619"/>
      <c r="L44" s="419"/>
      <c r="M44" s="434"/>
      <c r="N44" s="435"/>
      <c r="O44" s="436"/>
      <c r="Q44" s="618"/>
      <c r="R44" s="419"/>
      <c r="T44" s="618"/>
      <c r="U44" s="619"/>
      <c r="V44" s="619"/>
      <c r="W44" s="619"/>
      <c r="X44" s="619"/>
      <c r="Y44" s="619"/>
      <c r="Z44" s="419"/>
      <c r="AB44" s="618"/>
      <c r="AC44" s="619"/>
      <c r="AD44" s="619"/>
      <c r="AE44" s="619"/>
      <c r="AF44" s="619"/>
      <c r="AG44" s="619"/>
      <c r="AH44" s="619"/>
      <c r="AI44" s="619"/>
      <c r="AJ44" s="619"/>
      <c r="AK44" s="619"/>
      <c r="AL44" s="619"/>
      <c r="AM44" s="419"/>
    </row>
    <row r="46" spans="1:41" ht="14.25" x14ac:dyDescent="0.2">
      <c r="D46" s="811" t="s">
        <v>689</v>
      </c>
      <c r="E46" s="811"/>
      <c r="F46" s="811"/>
      <c r="G46" s="811"/>
      <c r="H46" s="811"/>
      <c r="I46" s="811"/>
      <c r="J46" s="811"/>
      <c r="K46" s="811"/>
      <c r="L46" s="811"/>
      <c r="M46" s="811"/>
      <c r="N46" s="811"/>
      <c r="O46" s="811"/>
      <c r="T46" s="812" t="s">
        <v>865</v>
      </c>
      <c r="U46" s="812"/>
      <c r="V46" s="812"/>
      <c r="W46" s="812"/>
      <c r="X46" s="812"/>
      <c r="Y46" s="812"/>
      <c r="Z46" s="812"/>
    </row>
    <row r="47" spans="1:41" ht="12.75" customHeight="1" x14ac:dyDescent="0.2">
      <c r="D47" s="715"/>
      <c r="E47" s="715"/>
      <c r="F47" s="715"/>
      <c r="G47" s="715"/>
      <c r="H47" s="715"/>
      <c r="I47" s="715"/>
      <c r="J47" s="715"/>
      <c r="K47" s="715"/>
      <c r="L47" s="715"/>
      <c r="M47" s="715"/>
      <c r="N47" s="715"/>
      <c r="O47" s="715"/>
      <c r="T47" s="813"/>
      <c r="U47" s="813"/>
      <c r="V47" s="813"/>
      <c r="W47" s="813"/>
      <c r="X47" s="813"/>
      <c r="Y47" s="813"/>
      <c r="Z47" s="813"/>
    </row>
    <row r="48" spans="1:41" ht="12.75" customHeight="1" x14ac:dyDescent="0.2">
      <c r="D48" s="715"/>
      <c r="E48" s="715"/>
      <c r="F48" s="715"/>
      <c r="G48" s="715"/>
      <c r="H48" s="715"/>
      <c r="I48" s="715"/>
      <c r="J48" s="715"/>
      <c r="K48" s="715"/>
      <c r="L48" s="715"/>
      <c r="M48" s="715"/>
      <c r="N48" s="715"/>
      <c r="O48" s="715"/>
      <c r="T48" s="813"/>
      <c r="U48" s="813"/>
      <c r="V48" s="813"/>
      <c r="W48" s="813"/>
      <c r="X48" s="813"/>
      <c r="Y48" s="813"/>
      <c r="Z48" s="813"/>
    </row>
    <row r="49" spans="4:26" ht="12.75" customHeight="1" x14ac:dyDescent="0.2">
      <c r="D49" s="715"/>
      <c r="E49" s="715"/>
      <c r="F49" s="715"/>
      <c r="G49" s="715"/>
      <c r="H49" s="715"/>
      <c r="I49" s="715"/>
      <c r="J49" s="715"/>
      <c r="K49" s="715"/>
      <c r="L49" s="715"/>
      <c r="M49" s="715"/>
      <c r="N49" s="715"/>
      <c r="O49" s="715"/>
      <c r="T49" s="813"/>
      <c r="U49" s="813"/>
      <c r="V49" s="813"/>
      <c r="W49" s="813"/>
      <c r="X49" s="813"/>
      <c r="Y49" s="813"/>
      <c r="Z49" s="813"/>
    </row>
    <row r="50" spans="4:26" ht="14.25" x14ac:dyDescent="0.2">
      <c r="D50" s="443"/>
      <c r="E50" s="443"/>
      <c r="F50" s="443"/>
      <c r="G50" s="443"/>
      <c r="H50" s="443"/>
      <c r="I50" s="443"/>
      <c r="J50" s="443"/>
      <c r="K50" s="443"/>
      <c r="L50" s="443"/>
      <c r="M50" s="443"/>
      <c r="N50" s="443"/>
      <c r="O50" s="443"/>
    </row>
    <row r="51" spans="4:26" ht="15" customHeight="1" x14ac:dyDescent="0.25">
      <c r="D51" s="716" t="str" cm="1">
        <f t="array" aca="1" ref="D51"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51" s="716"/>
      <c r="F51" s="716"/>
      <c r="G51" s="716"/>
      <c r="H51" s="716"/>
      <c r="I51" s="716"/>
      <c r="J51" s="716"/>
      <c r="K51" s="716"/>
      <c r="L51" s="716"/>
    </row>
    <row r="52" spans="4:26" x14ac:dyDescent="0.2">
      <c r="D52" s="809"/>
      <c r="E52" s="809"/>
      <c r="F52" s="809"/>
      <c r="G52" s="809"/>
      <c r="H52" s="809"/>
      <c r="I52" s="809"/>
    </row>
    <row r="53" spans="4:26" x14ac:dyDescent="0.2">
      <c r="D53" s="81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53" s="816"/>
      <c r="F53" s="816"/>
      <c r="G53" s="816"/>
      <c r="H53" s="816"/>
      <c r="I53" s="816"/>
      <c r="J53" s="816"/>
      <c r="K53" s="816"/>
      <c r="L53" s="816"/>
      <c r="M53" s="816"/>
      <c r="N53" s="816"/>
      <c r="O53" s="816"/>
    </row>
    <row r="54" spans="4:26" ht="39.950000000000003" customHeight="1" x14ac:dyDescent="0.25">
      <c r="E54" s="138" t="str">
        <f>Import.Município</f>
        <v>Ivorá/RS</v>
      </c>
      <c r="J54" s="585" t="str">
        <f ca="1">IF(DADOS!$D$50&lt;&gt;"","Preencher os Dados do Responsável pela Fiscalização, na aba DADOS.","")</f>
        <v/>
      </c>
      <c r="K54" s="585"/>
      <c r="L54" s="585"/>
      <c r="M54" s="585"/>
      <c r="W54" s="817"/>
      <c r="X54" s="817"/>
      <c r="Y54" s="817"/>
      <c r="Z54" s="817"/>
    </row>
    <row r="55" spans="4:26" x14ac:dyDescent="0.2">
      <c r="E55" s="9" t="s">
        <v>693</v>
      </c>
      <c r="J55" s="181" t="s">
        <v>841</v>
      </c>
      <c r="W55" s="181" t="s">
        <v>866</v>
      </c>
    </row>
    <row r="56" spans="4:26" x14ac:dyDescent="0.2">
      <c r="J56" s="77" t="s">
        <v>240</v>
      </c>
      <c r="K56" s="271">
        <f t="array" ref="K56:K59">Import.RespFiscalização</f>
        <v>0</v>
      </c>
      <c r="L56" s="78"/>
      <c r="W56" s="77" t="s">
        <v>240</v>
      </c>
      <c r="X56" s="815"/>
      <c r="Y56" s="815"/>
      <c r="Z56" s="815"/>
    </row>
    <row r="57" spans="4:26" x14ac:dyDescent="0.2">
      <c r="E57" s="459">
        <f>DADOS!$C$48</f>
        <v>0</v>
      </c>
      <c r="J57" s="77" t="s">
        <v>319</v>
      </c>
      <c r="K57" s="271">
        <v>0</v>
      </c>
      <c r="L57" s="78"/>
      <c r="W57" s="77" t="s">
        <v>867</v>
      </c>
      <c r="X57" s="815"/>
      <c r="Y57" s="815"/>
      <c r="Z57" s="815"/>
    </row>
    <row r="58" spans="4:26" x14ac:dyDescent="0.2">
      <c r="E58" s="140" t="s">
        <v>694</v>
      </c>
      <c r="J58" s="77" t="s">
        <v>243</v>
      </c>
      <c r="K58" s="271">
        <v>0</v>
      </c>
      <c r="L58" s="78"/>
      <c r="W58" s="77" t="s">
        <v>243</v>
      </c>
      <c r="X58" s="815"/>
      <c r="Y58" s="815"/>
      <c r="Z58" s="815"/>
    </row>
    <row r="59" spans="4:26" x14ac:dyDescent="0.2">
      <c r="J59" s="77" t="s">
        <v>246</v>
      </c>
      <c r="K59" s="12">
        <v>0</v>
      </c>
      <c r="W59" s="77"/>
      <c r="X59" s="12"/>
    </row>
  </sheetData>
  <sheetProtection algorithmName="SHA-512" hashValue="thZ/gUPjeSq3fParJPUhGHaev3p3sy9VMRs1LR7CPgVffyaPwsVwBxBAGEObD2jgyzJTW2YKEhHKq6SdhK/w5Q==" saltValue="Oy08QmAqINzzg6Qducsk/A==" spinCount="100000" sheet="1" objects="1" scenarios="1" autoFilter="0"/>
  <autoFilter ref="C15:C44" xr:uid="{00000000-0001-0000-0B00-000000000000}"/>
  <mergeCells count="33">
    <mergeCell ref="X58:Z58"/>
    <mergeCell ref="D53:O53"/>
    <mergeCell ref="W54:Z54"/>
    <mergeCell ref="X56:Z56"/>
    <mergeCell ref="X57:Z57"/>
    <mergeCell ref="D51:L51"/>
    <mergeCell ref="D52:I52"/>
    <mergeCell ref="AB15:AM15"/>
    <mergeCell ref="D46:O46"/>
    <mergeCell ref="T46:Z46"/>
    <mergeCell ref="D47:O49"/>
    <mergeCell ref="T47:Z49"/>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42:O43 T42:Z43">
    <cfRule type="expression" dxfId="96" priority="18607" stopIfTrue="1">
      <formula>OR(ACOMPANHAMENTO="PLE",TIPOORCAMENTO="Proposto",$L14&lt;0,AND($L14&gt;100,RegimeExecucao="Global"),$O14&gt;$I14,$O14&lt;0)</formula>
    </cfRule>
    <cfRule type="expression" dxfId="95" priority="18608" stopIfTrue="1">
      <formula>$A14=1</formula>
    </cfRule>
    <cfRule type="expression" dxfId="94" priority="18609" stopIfTrue="1">
      <formula>$A14&lt;&gt;"S"</formula>
    </cfRule>
  </conditionalFormatting>
  <conditionalFormatting sqref="Q14:R14 AB14:AM14 Q42:R43 AB42:AM43">
    <cfRule type="expression" dxfId="93" priority="18610" stopIfTrue="1">
      <formula>$A14=1</formula>
    </cfRule>
    <cfRule type="expression" dxfId="92" priority="18611" stopIfTrue="1">
      <formula>$A14&lt;&gt;"S"</formula>
    </cfRule>
  </conditionalFormatting>
  <conditionalFormatting sqref="E2">
    <cfRule type="expression" dxfId="91" priority="18612" stopIfTrue="1">
      <formula>Import.RegimeExecução="(SELECIONAR)"</formula>
    </cfRule>
  </conditionalFormatting>
  <conditionalFormatting sqref="F13:H13">
    <cfRule type="expression" dxfId="90" priority="18613" stopIfTrue="1">
      <formula>RegimeExecucao="Global"</formula>
    </cfRule>
  </conditionalFormatting>
  <conditionalFormatting sqref="D15:O15">
    <cfRule type="expression" dxfId="89" priority="18614" stopIfTrue="1">
      <formula>OR(ACOMPANHAMENTO="PLE",TIPOORCAMENTO="Proposto")</formula>
    </cfRule>
  </conditionalFormatting>
  <conditionalFormatting sqref="AB13">
    <cfRule type="cellIs" dxfId="88" priority="18615" stopIfTrue="1" operator="notEqual">
      <formula>1</formula>
    </cfRule>
  </conditionalFormatting>
  <conditionalFormatting sqref="O11">
    <cfRule type="expression" dxfId="87" priority="13474">
      <formula>ROUND($P$11,4)&gt;ROUND($P$10,4)</formula>
    </cfRule>
  </conditionalFormatting>
  <conditionalFormatting sqref="D16:O19 T16:Z19 T27:Z27 D27:O27 T21:Z24 D21:O24">
    <cfRule type="expression" dxfId="86" priority="161" stopIfTrue="1">
      <formula>OR(ACOMPANHAMENTO="PLE",TIPOORCAMENTO="Proposto",$L16&lt;0,AND($L16&gt;100,RegimeExecucao="Global"),$O16&gt;$I16,$O16&lt;0)</formula>
    </cfRule>
    <cfRule type="expression" dxfId="85" priority="162" stopIfTrue="1">
      <formula>$A16=1</formula>
    </cfRule>
    <cfRule type="expression" dxfId="84" priority="163" stopIfTrue="1">
      <formula>$A16&lt;&gt;"S"</formula>
    </cfRule>
  </conditionalFormatting>
  <conditionalFormatting sqref="Q16:R19 AB16:AM19 AB27:AM27 Q27:R27 AB21:AM24 Q21:R24">
    <cfRule type="expression" dxfId="83" priority="164" stopIfTrue="1">
      <formula>$A16=1</formula>
    </cfRule>
    <cfRule type="expression" dxfId="82" priority="165" stopIfTrue="1">
      <formula>$A16&lt;&gt;"S"</formula>
    </cfRule>
  </conditionalFormatting>
  <conditionalFormatting sqref="D29:O35 T29:Z35 T37:Z38 D37:O38">
    <cfRule type="expression" dxfId="81" priority="156" stopIfTrue="1">
      <formula>OR(ACOMPANHAMENTO="PLE",TIPOORCAMENTO="Proposto",$L29&lt;0,AND($L29&gt;100,RegimeExecucao="Global"),$O29&gt;$I29,$O29&lt;0)</formula>
    </cfRule>
    <cfRule type="expression" dxfId="80" priority="157" stopIfTrue="1">
      <formula>$A29=1</formula>
    </cfRule>
    <cfRule type="expression" dxfId="79" priority="158" stopIfTrue="1">
      <formula>$A29&lt;&gt;"S"</formula>
    </cfRule>
  </conditionalFormatting>
  <conditionalFormatting sqref="Q29:R35 AB29:AM35 AB37:AM38 Q37:R38">
    <cfRule type="expression" dxfId="78" priority="159" stopIfTrue="1">
      <formula>$A29=1</formula>
    </cfRule>
    <cfRule type="expression" dxfId="77" priority="160" stopIfTrue="1">
      <formula>$A29&lt;&gt;"S"</formula>
    </cfRule>
  </conditionalFormatting>
  <conditionalFormatting sqref="D39:O40 T39:Z40">
    <cfRule type="expression" dxfId="76" priority="151" stopIfTrue="1">
      <formula>OR(ACOMPANHAMENTO="PLE",TIPOORCAMENTO="Proposto",$L39&lt;0,AND($L39&gt;100,RegimeExecucao="Global"),$O39&gt;$I39,$O39&lt;0)</formula>
    </cfRule>
    <cfRule type="expression" dxfId="75" priority="152" stopIfTrue="1">
      <formula>$A39=1</formula>
    </cfRule>
    <cfRule type="expression" dxfId="74" priority="153" stopIfTrue="1">
      <formula>$A39&lt;&gt;"S"</formula>
    </cfRule>
  </conditionalFormatting>
  <conditionalFormatting sqref="Q39:R40 AB39:AM40">
    <cfRule type="expression" dxfId="73" priority="154" stopIfTrue="1">
      <formula>$A39=1</formula>
    </cfRule>
    <cfRule type="expression" dxfId="72" priority="155" stopIfTrue="1">
      <formula>$A39&lt;&gt;"S"</formula>
    </cfRule>
  </conditionalFormatting>
  <conditionalFormatting sqref="D25:O26 T25:Z26">
    <cfRule type="expression" dxfId="71" priority="21" stopIfTrue="1">
      <formula>OR(ACOMPANHAMENTO="PLE",TIPOORCAMENTO="Proposto",$L25&lt;0,AND($L25&gt;100,RegimeExecucao="Global"),$O25&gt;$I25,$O25&lt;0)</formula>
    </cfRule>
    <cfRule type="expression" dxfId="70" priority="22" stopIfTrue="1">
      <formula>$A25=1</formula>
    </cfRule>
    <cfRule type="expression" dxfId="69" priority="23" stopIfTrue="1">
      <formula>$A25&lt;&gt;"S"</formula>
    </cfRule>
  </conditionalFormatting>
  <conditionalFormatting sqref="Q25:R26 AB25:AM26">
    <cfRule type="expression" dxfId="68" priority="24" stopIfTrue="1">
      <formula>$A25=1</formula>
    </cfRule>
    <cfRule type="expression" dxfId="67" priority="25" stopIfTrue="1">
      <formula>$A25&lt;&gt;"S"</formula>
    </cfRule>
  </conditionalFormatting>
  <conditionalFormatting sqref="D28:O28 T28:Z28">
    <cfRule type="expression" dxfId="66" priority="16" stopIfTrue="1">
      <formula>OR(ACOMPANHAMENTO="PLE",TIPOORCAMENTO="Proposto",$L28&lt;0,AND($L28&gt;100,RegimeExecucao="Global"),$O28&gt;$I28,$O28&lt;0)</formula>
    </cfRule>
    <cfRule type="expression" dxfId="65" priority="17" stopIfTrue="1">
      <formula>$A28=1</formula>
    </cfRule>
    <cfRule type="expression" dxfId="64" priority="18" stopIfTrue="1">
      <formula>$A28&lt;&gt;"S"</formula>
    </cfRule>
  </conditionalFormatting>
  <conditionalFormatting sqref="Q28:R28 AB28:AM28">
    <cfRule type="expression" dxfId="63" priority="19" stopIfTrue="1">
      <formula>$A28=1</formula>
    </cfRule>
    <cfRule type="expression" dxfId="62" priority="20" stopIfTrue="1">
      <formula>$A28&lt;&gt;"S"</formula>
    </cfRule>
  </conditionalFormatting>
  <conditionalFormatting sqref="D20:O20 T20:Z20">
    <cfRule type="expression" dxfId="61" priority="11" stopIfTrue="1">
      <formula>OR(ACOMPANHAMENTO="PLE",TIPOORCAMENTO="Proposto",$L20&lt;0,AND($L20&gt;100,RegimeExecucao="Global"),$O20&gt;$I20,$O20&lt;0)</formula>
    </cfRule>
    <cfRule type="expression" dxfId="60" priority="12" stopIfTrue="1">
      <formula>$A20=1</formula>
    </cfRule>
    <cfRule type="expression" dxfId="59" priority="13" stopIfTrue="1">
      <formula>$A20&lt;&gt;"S"</formula>
    </cfRule>
  </conditionalFormatting>
  <conditionalFormatting sqref="Q20:R20 AB20:AM20">
    <cfRule type="expression" dxfId="58" priority="14" stopIfTrue="1">
      <formula>$A20=1</formula>
    </cfRule>
    <cfRule type="expression" dxfId="57" priority="15" stopIfTrue="1">
      <formula>$A20&lt;&gt;"S"</formula>
    </cfRule>
  </conditionalFormatting>
  <conditionalFormatting sqref="D36:O36 T36:Z36">
    <cfRule type="expression" dxfId="56" priority="6" stopIfTrue="1">
      <formula>OR(ACOMPANHAMENTO="PLE",TIPOORCAMENTO="Proposto",$L36&lt;0,AND($L36&gt;100,RegimeExecucao="Global"),$O36&gt;$I36,$O36&lt;0)</formula>
    </cfRule>
    <cfRule type="expression" dxfId="55" priority="7" stopIfTrue="1">
      <formula>$A36=1</formula>
    </cfRule>
    <cfRule type="expression" dxfId="54" priority="8" stopIfTrue="1">
      <formula>$A36&lt;&gt;"S"</formula>
    </cfRule>
  </conditionalFormatting>
  <conditionalFormatting sqref="Q36:R36 AB36:AM36">
    <cfRule type="expression" dxfId="53" priority="9" stopIfTrue="1">
      <formula>$A36=1</formula>
    </cfRule>
    <cfRule type="expression" dxfId="52" priority="10" stopIfTrue="1">
      <formula>$A36&lt;&gt;"S"</formula>
    </cfRule>
  </conditionalFormatting>
  <conditionalFormatting sqref="D41:O41 T41:Z41">
    <cfRule type="expression" dxfId="51" priority="1" stopIfTrue="1">
      <formula>OR(ACOMPANHAMENTO="PLE",TIPOORCAMENTO="Proposto",$L41&lt;0,AND($L41&gt;100,RegimeExecucao="Global"),$O41&gt;$I41,$O41&lt;0)</formula>
    </cfRule>
    <cfRule type="expression" dxfId="50" priority="2" stopIfTrue="1">
      <formula>$A41=1</formula>
    </cfRule>
    <cfRule type="expression" dxfId="49" priority="3" stopIfTrue="1">
      <formula>$A41&lt;&gt;"S"</formula>
    </cfRule>
  </conditionalFormatting>
  <conditionalFormatting sqref="Q41:R41 AB41:AM41">
    <cfRule type="expression" dxfId="48" priority="4" stopIfTrue="1">
      <formula>$A41=1</formula>
    </cfRule>
    <cfRule type="expression" dxfId="47" priority="5" stopIfTrue="1">
      <formula>$A41&lt;&gt;"S"</formula>
    </cfRule>
  </conditionalFormatting>
  <dataValidations count="4">
    <dataValidation type="list" allowBlank="1" showErrorMessage="1" sqref="Z14 Z16:Z43"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43"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43"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2" t="s">
        <v>652</v>
      </c>
      <c r="F3" s="722"/>
      <c r="G3" s="722"/>
      <c r="H3" s="722"/>
      <c r="I3" s="684" t="s">
        <v>650</v>
      </c>
      <c r="J3" s="684"/>
      <c r="K3" s="684"/>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20" t="str">
        <f>Import.Proponente</f>
        <v>Município de Ivorá</v>
      </c>
      <c r="F4" s="720"/>
      <c r="G4" s="720"/>
      <c r="H4" s="720"/>
      <c r="I4" s="681" t="str">
        <f>Import.CR</f>
        <v>984561-2025</v>
      </c>
      <c r="J4" s="681"/>
      <c r="K4" s="681"/>
      <c r="L4" s="56" t="str">
        <f>Import.TransfereGOV</f>
        <v>984561</v>
      </c>
      <c r="M4" s="830" t="s">
        <v>809</v>
      </c>
      <c r="N4" s="831"/>
      <c r="O4" s="832"/>
      <c r="P4" s="351" t="str">
        <f>import.recurso</f>
        <v>OGU</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84" t="s">
        <v>708</v>
      </c>
      <c r="F6" s="684"/>
      <c r="G6" s="684"/>
      <c r="H6" s="684"/>
      <c r="I6" s="818" t="s">
        <v>808</v>
      </c>
      <c r="J6" s="818"/>
      <c r="K6" s="818"/>
      <c r="L6" s="818"/>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10" t="s">
        <v>655</v>
      </c>
      <c r="E7" s="681" t="str">
        <f>Import.Apelido</f>
        <v>Pavimentação Rua Padre Pedro Marcelino Copetti</v>
      </c>
      <c r="F7" s="681"/>
      <c r="G7" s="681"/>
      <c r="H7" s="681"/>
      <c r="I7" s="819" t="str">
        <f>Import.Município</f>
        <v>Ivorá/RS</v>
      </c>
      <c r="J7" s="819"/>
      <c r="K7" s="819"/>
      <c r="L7" s="819"/>
      <c r="M7" s="353">
        <f>Import.Repasse</f>
        <v>389863</v>
      </c>
      <c r="N7" s="354">
        <f>Import.Contrapartida</f>
        <v>34626.11</v>
      </c>
      <c r="O7" s="353">
        <f>M7+N7</f>
        <v>424489.11</v>
      </c>
      <c r="P7" s="423">
        <f>IF(ACOMPANHAMENTO="PLE",PLE.Medicao,BM.medicao)</f>
        <v>1</v>
      </c>
      <c r="R7" s="146"/>
      <c r="S7" s="146"/>
      <c r="T7" s="146"/>
      <c r="U7" s="146"/>
    </row>
    <row r="8" spans="1:41" x14ac:dyDescent="0.2">
      <c r="D8" s="710"/>
      <c r="E8" s="92"/>
      <c r="F8" s="92"/>
      <c r="G8" s="92"/>
      <c r="H8" s="92"/>
      <c r="I8" s="92"/>
      <c r="J8" s="92"/>
      <c r="K8" s="92"/>
      <c r="L8" s="92"/>
      <c r="M8" s="92"/>
      <c r="N8" s="92"/>
      <c r="O8" s="92"/>
      <c r="P8" s="92"/>
      <c r="R8" s="146"/>
      <c r="S8" s="146"/>
      <c r="T8" s="146"/>
      <c r="U8" s="146"/>
    </row>
    <row r="9" spans="1:41" ht="12.75" customHeight="1" x14ac:dyDescent="0.2">
      <c r="D9" s="710"/>
      <c r="G9" s="820" t="s">
        <v>874</v>
      </c>
      <c r="H9" s="820"/>
      <c r="I9" s="820" t="s">
        <v>875</v>
      </c>
      <c r="J9" s="820"/>
      <c r="K9" s="355"/>
      <c r="L9" s="821" t="s">
        <v>815</v>
      </c>
      <c r="M9" s="356" t="s">
        <v>818</v>
      </c>
      <c r="N9" s="278" t="s">
        <v>741</v>
      </c>
      <c r="P9" s="357"/>
      <c r="R9" s="146"/>
      <c r="S9" s="146"/>
      <c r="T9" s="146"/>
      <c r="U9" s="146"/>
      <c r="V9" s="7" t="s">
        <v>876</v>
      </c>
    </row>
    <row r="10" spans="1:41" ht="12.75" customHeight="1" x14ac:dyDescent="0.2">
      <c r="D10" s="710"/>
      <c r="G10" s="683" t="str">
        <f ca="1">IF(J10="-","-",IF($P$24&lt;J10,"Atrasada",IF($P$24&gt;J10,"Adiantada","Normal")))</f>
        <v>Normal</v>
      </c>
      <c r="H10" s="683"/>
      <c r="I10" s="358">
        <f>DATE(YEAR($L$35),MONTH($L$35),1)</f>
        <v>1</v>
      </c>
      <c r="J10" s="359">
        <f ca="1">IF($I$10&lt;DATE(YEAR(CRONO!$U$13),MONTH(CRONO!$U$13),1),0,IF($I$10&gt;OFFSET(CRONO!$AG$13,0,-1),1,INDEX(CRONO!$T$170:$AH$170,MATCH(RRE!$I$10,CRONO!$T$13:$AG$13,0))))</f>
        <v>0</v>
      </c>
      <c r="K10" s="355"/>
      <c r="L10" s="821"/>
      <c r="M10" s="360">
        <f ca="1">QCI!L10</f>
        <v>0</v>
      </c>
      <c r="N10" s="280">
        <f ca="1">QCI!M10</f>
        <v>0</v>
      </c>
      <c r="P10" s="357"/>
      <c r="R10" s="146"/>
      <c r="S10" s="146"/>
      <c r="T10" s="146"/>
      <c r="U10" s="146"/>
      <c r="AC10" s="822" t="s">
        <v>76</v>
      </c>
      <c r="AD10" s="822"/>
      <c r="AE10" s="822"/>
      <c r="AF10" s="822"/>
      <c r="AG10" s="822"/>
      <c r="AH10" s="822"/>
      <c r="AJ10" s="822" t="s">
        <v>78</v>
      </c>
      <c r="AK10" s="822"/>
      <c r="AL10" s="822"/>
      <c r="AM10" s="822"/>
      <c r="AN10" s="822"/>
      <c r="AO10" s="822"/>
    </row>
    <row r="11" spans="1:41" ht="20.100000000000001" customHeight="1" x14ac:dyDescent="0.2">
      <c r="D11" s="710"/>
      <c r="M11" s="451" t="str">
        <f>IF(CAIXA.Modo,"Valores Aferidos (R$)","Valores Medidos (R$)")</f>
        <v>Valores Medidos (R$)</v>
      </c>
      <c r="N11" s="451"/>
      <c r="O11" s="451"/>
      <c r="R11" s="361"/>
      <c r="S11" s="361"/>
      <c r="T11" s="451"/>
      <c r="U11" s="451"/>
      <c r="V11" s="448" t="s">
        <v>877</v>
      </c>
      <c r="Y11" s="823" t="str">
        <f>IF(CAIXA.Modo,"Valores Aferidos (R$)","Valores Medidos (R$)")</f>
        <v>Valores Medidos (R$)</v>
      </c>
      <c r="Z11" s="823"/>
      <c r="AC11" s="824" t="s">
        <v>878</v>
      </c>
      <c r="AD11" s="824"/>
      <c r="AE11" s="824"/>
      <c r="AF11" s="824" t="s">
        <v>879</v>
      </c>
      <c r="AG11" s="824"/>
      <c r="AH11" s="824"/>
      <c r="AJ11" s="824" t="s">
        <v>878</v>
      </c>
      <c r="AK11" s="824"/>
      <c r="AL11" s="824"/>
      <c r="AM11" s="824" t="s">
        <v>879</v>
      </c>
      <c r="AN11" s="824"/>
      <c r="AO11" s="824"/>
    </row>
    <row r="12" spans="1:41" ht="30" hidden="1" customHeight="1" x14ac:dyDescent="0.2">
      <c r="A12" t="e">
        <f ca="1">MATCH(E12,ORÇAMENTO!$E$15:$E$44,0)-1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MATCH(E14,ORÇAMENTO!$E$15:$E$44,0)-1</f>
        <v>1</v>
      </c>
      <c r="B14">
        <f ca="1">IF(ISERROR($A14),NA(),OFFSET(ORÇAMENTO!$D$15,$A14,0))</f>
        <v>28</v>
      </c>
      <c r="C14" t="str">
        <f ca="1">QCI!B14</f>
        <v>Automático</v>
      </c>
      <c r="D14" t="str">
        <f t="shared" ref="D14:D22" ca="1" si="0">IF(L14&gt;0,"F","")</f>
        <v>F</v>
      </c>
      <c r="E14" s="281">
        <f>QCI!D14</f>
        <v>1</v>
      </c>
      <c r="F14" s="362" t="str">
        <f ca="1">QCI!G14</f>
        <v>Pavimentação em CBUQ Rua Padre Pedro Marcelino Copetti</v>
      </c>
      <c r="G14" s="363">
        <f>QCI!H14</f>
        <v>0</v>
      </c>
      <c r="H14" s="282">
        <f>QCI!I14</f>
        <v>0</v>
      </c>
      <c r="I14" s="282" t="str">
        <f ca="1">QCI!J14</f>
        <v/>
      </c>
      <c r="J14" s="364" t="str">
        <f ca="1">QCI!K14</f>
        <v>LOTE 1</v>
      </c>
      <c r="K14" s="365" cm="1">
        <f t="array" aca="1" ref="K14" ca="1">IF($C14="Automático",IF(ACOMPANHAMENTO="BM",BM.medicao,PLE.Medicao),IF(ISBLANK($X14),"",$X14))</f>
        <v>1</v>
      </c>
      <c r="L14" s="286">
        <f ca="1">QCI!$O14</f>
        <v>424489.11</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MATCH(E15,ORÇAMENTO!$E$15:$E$44,0)-1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t="e"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#N/A</v>
      </c>
      <c r="AD15" s="183" t="e"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#N/A</v>
      </c>
      <c r="AE15" s="183" t="e">
        <f ca="1">ROUND(
            IF(ACOMPANHAMENTO&lt;&gt;"PLE",0,
                      SUMIF(OFFSET(CÁLCULO!$AX$15:$BH$15,$A15,0,$B15),"&lt;="&amp;(PLE.Medicao-1),OFFSET(CÁLCULO!$AB$15:$AL$15,$A15,0,$B15))
                      +IF(AdmLocal="Automática",
                              SUMIF(OFFSET(CÁLCULO!$M$15,$A15,0,$B15),1,OFFSET(ORÇAMENTO!$X$15,$A15,0,$B15))*(PLE!$AE$9-PLE!$Y$9),
                              0)),
            2)</f>
        <v>#N/A</v>
      </c>
      <c r="AF15" s="183" t="e"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#N/A</v>
      </c>
      <c r="AG15" s="183" t="e"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#N/A</v>
      </c>
      <c r="AH15" s="183" t="e">
        <f ca="1">ROUND(IF(ACOMPANHAMENTO&lt;&gt;"PLE",0,SUMIF(OFFSET(CÁLCULO!$AX$15:$BH$15,$A15,0,$B15),"&lt;="&amp;PLE.Medicao,OFFSET(CÁLCULO!$AB$15:$AL$15,$A15,0,$B15))+IF(AdmLocal="Automática",SUMIF(OFFSET(CÁLCULO!$M$15,$A15,0,$B15),1,OFFSET(ORÇAMENTO!$X$15,$A15,0,$B15))*PLE!$AE$9,0)),2)</f>
        <v>#N/A</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t="e">
        <f ca="1">MATCH(E16,ORÇAMENTO!$E$15:$E$44,0)-1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t="e"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#N/A</v>
      </c>
      <c r="AD16" s="183" t="e"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#N/A</v>
      </c>
      <c r="AG16" s="183" t="e"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ROUND(IF(ACOMPANHAMENTO&lt;&gt;"PLE",0,SUMIF(OFFSET(CÁLCULO!$AX$15:$BH$15,$A16,0,$B16),"&lt;="&amp;PLE.Medicao,OFFSET(CÁLCULO!$AB$15:$AL$15,$A16,0,$B16))+IF(AdmLocal="Automática",SUMIF(OFFSET(CÁLCULO!$M$15,$A16,0,$B16),1,OFFSET(ORÇAMENTO!$X$15,$A16,0,$B16))*PLE!$AE$9,0)),2)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t="e">
        <f ca="1">MATCH(E17,ORÇAMENTO!$E$15:$E$44,0)-1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t="e"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#N/A</v>
      </c>
      <c r="AD17" s="183" t="e"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
            IF(ACOMPANHAMENTO&lt;&gt;"PLE",0,
                      SUMIF(OFFSET(CÁLCULO!$AX$15:$BH$15,$A17,0,$B17),"&lt;="&amp;(PLE.Medicao-1),OFFSET(CÁLCULO!$AB$15:$AL$15,$A17,0,$B17))
                      +IF(AdmLocal="Automática",
                              SUMIF(OFFSET(CÁLCULO!$M$15,$A17,0,$B17),1,OFFSET(ORÇAMENTO!$X$15,$A17,0,$B17))*(PLE!$AE$9-PLE!$Y$9),
                              0)),
            2)</f>
        <v>#N/A</v>
      </c>
      <c r="AF17" s="183" t="e"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#N/A</v>
      </c>
      <c r="AG17" s="183" t="e"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ROUND(IF(ACOMPANHAMENTO&lt;&gt;"PLE",0,SUMIF(OFFSET(CÁLCULO!$AX$15:$BH$15,$A17,0,$B17),"&lt;="&amp;PLE.Medicao,OFFSET(CÁLCULO!$AB$15:$AL$15,$A17,0,$B17))+IF(AdmLocal="Automática",SUMIF(OFFSET(CÁLCULO!$M$15,$A17,0,$B17),1,OFFSET(ORÇAMENTO!$X$15,$A17,0,$B17))*PLE!$AE$9,0)),2)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t="e">
        <f ca="1">MATCH(E18,ORÇAMENTO!$E$15:$E$44,0)-1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t="e"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#N/A</v>
      </c>
      <c r="AD18" s="183" t="e"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
            IF(ACOMPANHAMENTO&lt;&gt;"PLE",0,
                      SUMIF(OFFSET(CÁLCULO!$AX$15:$BH$15,$A18,0,$B18),"&lt;="&amp;(PLE.Medicao-1),OFFSET(CÁLCULO!$AB$15:$AL$15,$A18,0,$B18))
                      +IF(AdmLocal="Automática",
                              SUMIF(OFFSET(CÁLCULO!$M$15,$A18,0,$B18),1,OFFSET(ORÇAMENTO!$X$15,$A18,0,$B18))*(PLE!$AE$9-PLE!$Y$9),
                              0)),
            2)</f>
        <v>#N/A</v>
      </c>
      <c r="AF18" s="183" t="e"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#N/A</v>
      </c>
      <c r="AG18" s="183" t="e"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ROUND(IF(ACOMPANHAMENTO&lt;&gt;"PLE",0,SUMIF(OFFSET(CÁLCULO!$AX$15:$BH$15,$A18,0,$B18),"&lt;="&amp;PLE.Medicao,OFFSET(CÁLCULO!$AB$15:$AL$15,$A18,0,$B18))+IF(AdmLocal="Automática",SUMIF(OFFSET(CÁLCULO!$M$15,$A18,0,$B18),1,OFFSET(ORÇAMENTO!$X$15,$A18,0,$B18))*PLE!$AE$9,0)),2)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t="e">
        <f ca="1">MATCH(E19,ORÇAMENTO!$E$15:$E$44,0)-1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t="e"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#N/A</v>
      </c>
      <c r="AD19" s="183" t="e"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
            IF(ACOMPANHAMENTO&lt;&gt;"PLE",0,
                      SUMIF(OFFSET(CÁLCULO!$AX$15:$BH$15,$A19,0,$B19),"&lt;="&amp;(PLE.Medicao-1),OFFSET(CÁLCULO!$AB$15:$AL$15,$A19,0,$B19))
                      +IF(AdmLocal="Automática",
                              SUMIF(OFFSET(CÁLCULO!$M$15,$A19,0,$B19),1,OFFSET(ORÇAMENTO!$X$15,$A19,0,$B19))*(PLE!$AE$9-PLE!$Y$9),
                              0)),
            2)</f>
        <v>#N/A</v>
      </c>
      <c r="AF19" s="183" t="e"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#N/A</v>
      </c>
      <c r="AG19" s="183" t="e"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ROUND(IF(ACOMPANHAMENTO&lt;&gt;"PLE",0,SUMIF(OFFSET(CÁLCULO!$AX$15:$BH$15,$A19,0,$B19),"&lt;="&amp;PLE.Medicao,OFFSET(CÁLCULO!$AB$15:$AL$15,$A19,0,$B19))+IF(AdmLocal="Automática",SUMIF(OFFSET(CÁLCULO!$M$15,$A19,0,$B19),1,OFFSET(ORÇAMENTO!$X$15,$A19,0,$B19))*PLE!$AE$9,0)),2)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t="e">
        <f ca="1">MATCH(E20,ORÇAMENTO!$E$15:$E$44,0)-1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t="e"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#N/A</v>
      </c>
      <c r="AD20" s="183" t="e"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
            IF(ACOMPANHAMENTO&lt;&gt;"PLE",0,
                      SUMIF(OFFSET(CÁLCULO!$AX$15:$BH$15,$A20,0,$B20),"&lt;="&amp;(PLE.Medicao-1),OFFSET(CÁLCULO!$AB$15:$AL$15,$A20,0,$B20))
                      +IF(AdmLocal="Automática",
                              SUMIF(OFFSET(CÁLCULO!$M$15,$A20,0,$B20),1,OFFSET(ORÇAMENTO!$X$15,$A20,0,$B20))*(PLE!$AE$9-PLE!$Y$9),
                              0)),
            2)</f>
        <v>#N/A</v>
      </c>
      <c r="AF20" s="183" t="e"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#N/A</v>
      </c>
      <c r="AG20" s="183" t="e"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ROUND(IF(ACOMPANHAMENTO&lt;&gt;"PLE",0,SUMIF(OFFSET(CÁLCULO!$AX$15:$BH$15,$A20,0,$B20),"&lt;="&amp;PLE.Medicao,OFFSET(CÁLCULO!$AB$15:$AL$15,$A20,0,$B20))+IF(AdmLocal="Automática",SUMIF(OFFSET(CÁLCULO!$M$15,$A20,0,$B20),1,OFFSET(ORÇAMENTO!$X$15,$A20,0,$B20))*PLE!$AE$9,0)),2)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t="e">
        <f ca="1">MATCH(E21,ORÇAMENTO!$E$15:$E$44,0)-1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t="e"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#N/A</v>
      </c>
      <c r="AD21" s="183" t="e"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
            IF(ACOMPANHAMENTO&lt;&gt;"PLE",0,
                      SUMIF(OFFSET(CÁLCULO!$AX$15:$BH$15,$A21,0,$B21),"&lt;="&amp;(PLE.Medicao-1),OFFSET(CÁLCULO!$AB$15:$AL$15,$A21,0,$B21))
                      +IF(AdmLocal="Automática",
                              SUMIF(OFFSET(CÁLCULO!$M$15,$A21,0,$B21),1,OFFSET(ORÇAMENTO!$X$15,$A21,0,$B21))*(PLE!$AE$9-PLE!$Y$9),
                              0)),
            2)</f>
        <v>#N/A</v>
      </c>
      <c r="AF21" s="183" t="e"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#N/A</v>
      </c>
      <c r="AG21" s="183" t="e"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ROUND(IF(ACOMPANHAMENTO&lt;&gt;"PLE",0,SUMIF(OFFSET(CÁLCULO!$AX$15:$BH$15,$A21,0,$B21),"&lt;="&amp;PLE.Medicao,OFFSET(CÁLCULO!$AB$15:$AL$15,$A21,0,$B21))+IF(AdmLocal="Automática",SUMIF(OFFSET(CÁLCULO!$M$15,$A21,0,$B21),1,OFFSET(ORÇAMENTO!$X$15,$A21,0,$B21))*PLE!$AE$9,0)),2)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ht="30" customHeight="1" x14ac:dyDescent="0.2">
      <c r="A22" t="e">
        <f ca="1">MATCH(E22,ORÇAMENTO!$E$15:$E$44,0)-1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t="e"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#N/A</v>
      </c>
      <c r="AD22" s="183" t="e"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
            IF(ACOMPANHAMENTO&lt;&gt;"PLE",0,
                      SUMIF(OFFSET(CÁLCULO!$AX$15:$BH$15,$A22,0,$B22),"&lt;="&amp;(PLE.Medicao-1),OFFSET(CÁLCULO!$AB$15:$AL$15,$A22,0,$B22))
                      +IF(AdmLocal="Automática",
                              SUMIF(OFFSET(CÁLCULO!$M$15,$A22,0,$B22),1,OFFSET(ORÇAMENTO!$X$15,$A22,0,$B22))*(PLE!$AE$9-PLE!$Y$9),
                              0)),
            2)</f>
        <v>#N/A</v>
      </c>
      <c r="AF22" s="183" t="e"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#N/A</v>
      </c>
      <c r="AG22" s="183" t="e"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ROUND(IF(ACOMPANHAMENTO&lt;&gt;"PLE",0,SUMIF(OFFSET(CÁLCULO!$AX$15:$BH$15,$A22,0,$B22),"&lt;="&amp;PLE.Medicao,OFFSET(CÁLCULO!$AB$15:$AL$15,$A22,0,$B22))+IF(AdmLocal="Automática",SUMIF(OFFSET(CÁLCULO!$M$15,$A22,0,$B22),1,OFFSET(ORÇAMENTO!$X$15,$A22,0,$B22))*PLE!$AE$9,0)),2)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ht="30" customHeight="1" x14ac:dyDescent="0.2">
      <c r="A23" t="e">
        <f ca="1">MATCH(E23,ORÇAMENTO!$E$15:$E$44,0)-1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t="e"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#N/A</v>
      </c>
      <c r="AD23" s="183" t="e"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
            IF(ACOMPANHAMENTO&lt;&gt;"PLE",0,
                      SUMIF(OFFSET(CÁLCULO!$AX$15:$BH$15,$A23,0,$B23),"&lt;="&amp;(PLE.Medicao-1),OFFSET(CÁLCULO!$AB$15:$AL$15,$A23,0,$B23))
                      +IF(AdmLocal="Automática",
                              SUMIF(OFFSET(CÁLCULO!$M$15,$A23,0,$B23),1,OFFSET(ORÇAMENTO!$X$15,$A23,0,$B23))*(PLE!$AE$9-PLE!$Y$9),
                              0)),
            2)</f>
        <v>#N/A</v>
      </c>
      <c r="AF23" s="183" t="e"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#N/A</v>
      </c>
      <c r="AG23" s="183" t="e"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ROUND(IF(ACOMPANHAMENTO&lt;&gt;"PLE",0,SUMIF(OFFSET(CÁLCULO!$AX$15:$BH$15,$A23,0,$B23),"&lt;="&amp;PLE.Medicao,OFFSET(CÁLCULO!$AB$15:$AL$15,$A23,0,$B23))+IF(AdmLocal="Automática",SUMIF(OFFSET(CÁLCULO!$M$15,$A23,0,$B23),1,OFFSET(ORÇAMENTO!$X$15,$A23,0,$B23))*PLE!$AE$9,0)),2)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839" t="s">
        <v>889</v>
      </c>
      <c r="K24" s="840"/>
      <c r="L24" s="369">
        <f ca="1">IF(ISERROR(L28/$L28),0,ROUND(L28/$L28,4))</f>
        <v>1</v>
      </c>
      <c r="M24" s="371">
        <f ca="1">IF(ISERROR(M28/$L28),0,ROUND(M28/$L28,4))</f>
        <v>0</v>
      </c>
      <c r="N24" s="370">
        <f ca="1">IF(ISERROR(N28/$L28),0,ROUND(N28/$L28,4))</f>
        <v>0</v>
      </c>
      <c r="O24" s="372">
        <f ca="1">IF(ISERROR(O28/$L28),0,ROUND(O28/$L28,4))</f>
        <v>0</v>
      </c>
      <c r="P24" s="841">
        <f ca="1">O28/(L28+10^-12)</f>
        <v>0</v>
      </c>
      <c r="X24" s="302"/>
      <c r="Y24" s="304"/>
      <c r="Z24" s="305"/>
    </row>
    <row r="25" spans="1:41" ht="12.95" customHeight="1" x14ac:dyDescent="0.2">
      <c r="D25" t="s">
        <v>536</v>
      </c>
      <c r="I25" s="4"/>
      <c r="J25" s="842" t="str">
        <f>IF(import.recurso="FGTS","Financiamento","Repasse")</f>
        <v>Repasse</v>
      </c>
      <c r="K25" s="843"/>
      <c r="L25" s="286">
        <f ca="1">QCI!L24</f>
        <v>389863</v>
      </c>
      <c r="M25" s="283">
        <f ca="1">M28-M27-M26</f>
        <v>0</v>
      </c>
      <c r="N25" s="284">
        <f ca="1">O25-M25</f>
        <v>0</v>
      </c>
      <c r="O25" s="285">
        <f ca="1">O28-O27-O26</f>
        <v>0</v>
      </c>
      <c r="P25" s="841"/>
      <c r="X25" s="373"/>
      <c r="Y25" s="374" t="s">
        <v>890</v>
      </c>
      <c r="Z25" s="375" t="s">
        <v>891</v>
      </c>
      <c r="AC25" s="376" t="s">
        <v>892</v>
      </c>
      <c r="AD25" s="376" t="s">
        <v>893</v>
      </c>
    </row>
    <row r="26" spans="1:41" ht="12.95" customHeight="1" x14ac:dyDescent="0.2">
      <c r="D26" t="s">
        <v>536</v>
      </c>
      <c r="I26" s="4"/>
      <c r="J26" s="844" t="s">
        <v>894</v>
      </c>
      <c r="K26" s="845"/>
      <c r="L26" s="377">
        <f ca="1">QCI!M24</f>
        <v>34626.11</v>
      </c>
      <c r="M26" s="378">
        <f ca="1">ROUND(IF(OFFSET($X$26,0,1)&lt;&gt;"",OFFSET($X$26,0,1),SUM(R13:OFFSET(R24,-1,0))),2)</f>
        <v>0</v>
      </c>
      <c r="N26" s="379">
        <f ca="1">O26-M26</f>
        <v>0</v>
      </c>
      <c r="O26" s="380">
        <f ca="1">IF(OFFSET($X$26,0,2)&lt;&gt;"",OFFSET($X$26,0,2),$AE$3)</f>
        <v>0</v>
      </c>
      <c r="P26" s="841"/>
      <c r="X26" s="381" t="s">
        <v>456</v>
      </c>
      <c r="Y26" s="444"/>
      <c r="Z26" s="445"/>
      <c r="AC26" s="382">
        <f ca="1">MIN($L26,$O$28-OFFSET($X$27,0,1))</f>
        <v>0</v>
      </c>
      <c r="AD26" s="382">
        <f ca="1">MIN($L26,$O$28-OFFSET($X$27,0,2))</f>
        <v>0</v>
      </c>
    </row>
    <row r="27" spans="1:41" ht="12.95" customHeight="1" x14ac:dyDescent="0.2">
      <c r="D27" t="s">
        <v>536</v>
      </c>
      <c r="I27" s="4"/>
      <c r="J27" s="825" t="s">
        <v>871</v>
      </c>
      <c r="K27" s="826"/>
      <c r="L27" s="383">
        <f ca="1">QCI!N24</f>
        <v>0</v>
      </c>
      <c r="M27" s="384">
        <f ca="1">ROUND(IF(OFFSET($X$27,0,1)&lt;&gt;"",OFFSET($X$27,0,1),SUM(S13:OFFSET(S24,-1,0))),2)</f>
        <v>0</v>
      </c>
      <c r="N27" s="385">
        <f ca="1">O27-M27</f>
        <v>0</v>
      </c>
      <c r="O27" s="386">
        <f ca="1">IF(OFFSET($X$27,0,2)&lt;&gt;"",OFFSET($X$27,0,2),$AE$4)</f>
        <v>0</v>
      </c>
      <c r="P27" s="841"/>
      <c r="X27" s="387" t="s">
        <v>794</v>
      </c>
      <c r="Y27" s="446"/>
      <c r="Z27" s="447"/>
      <c r="AC27" s="382">
        <f ca="1">MIN($L27,$O$28-OFFSET($X$26,0,1))</f>
        <v>0</v>
      </c>
      <c r="AD27" s="382">
        <f ca="1">MIN($L27,$O$28-OFFSET($X$26,0,2))</f>
        <v>0</v>
      </c>
    </row>
    <row r="28" spans="1:41" ht="15" x14ac:dyDescent="0.2">
      <c r="D28" t="s">
        <v>536</v>
      </c>
      <c r="I28" s="4"/>
      <c r="J28" s="827" t="s">
        <v>873</v>
      </c>
      <c r="K28" s="828"/>
      <c r="L28" s="388">
        <f ca="1">SUM(L13:OFFSET(L24,-1,0))</f>
        <v>424489.11</v>
      </c>
      <c r="M28" s="648">
        <f ca="1">ROUND(SUM(M13:OFFSET(M24,-1,0)),2)</f>
        <v>0</v>
      </c>
      <c r="N28" s="649">
        <f ca="1">O28-M28</f>
        <v>0</v>
      </c>
      <c r="O28" s="389">
        <f ca="1">SUM(O13:OFFSET(O24,-1,0))</f>
        <v>0</v>
      </c>
      <c r="P28" s="841"/>
      <c r="X28" s="314"/>
      <c r="Y28" s="316"/>
      <c r="Z28" s="317"/>
    </row>
    <row r="29" spans="1:41" x14ac:dyDescent="0.2">
      <c r="O29" s="829" t="str">
        <f ca="1">"Acumulado Anterior:  "&amp;TEXT($M$28/($L$28+10^-12),"0,00%")</f>
        <v>Acumulado Anterior:  0,00%</v>
      </c>
      <c r="P29" s="829"/>
    </row>
    <row r="30" spans="1:41" ht="14.25" x14ac:dyDescent="0.2">
      <c r="E30" s="135" t="s">
        <v>689</v>
      </c>
      <c r="P30" s="414"/>
    </row>
    <row r="31" spans="1:41" ht="12.75" customHeight="1" x14ac:dyDescent="0.2">
      <c r="E31" s="833"/>
      <c r="F31" s="834"/>
      <c r="G31" s="834"/>
      <c r="H31" s="834"/>
      <c r="I31" s="834"/>
      <c r="J31" s="834"/>
      <c r="K31" s="834"/>
      <c r="L31" s="834"/>
      <c r="M31" s="834"/>
      <c r="N31" s="834"/>
      <c r="O31" s="834"/>
      <c r="P31" s="835"/>
    </row>
    <row r="32" spans="1:41" ht="12.75" customHeight="1" x14ac:dyDescent="0.2">
      <c r="E32" s="833"/>
      <c r="F32" s="834"/>
      <c r="G32" s="834"/>
      <c r="H32" s="834"/>
      <c r="I32" s="834"/>
      <c r="J32" s="834"/>
      <c r="K32" s="834"/>
      <c r="L32" s="834"/>
      <c r="M32" s="834"/>
      <c r="N32" s="834"/>
      <c r="O32" s="834"/>
      <c r="P32" s="835"/>
      <c r="Y32" s="390"/>
      <c r="Z32" s="390"/>
    </row>
    <row r="33" spans="5:16" ht="12.75" customHeight="1" x14ac:dyDescent="0.2">
      <c r="E33" s="836"/>
      <c r="F33" s="837"/>
      <c r="G33" s="837"/>
      <c r="H33" s="837"/>
      <c r="I33" s="837"/>
      <c r="J33" s="837"/>
      <c r="K33" s="837"/>
      <c r="L33" s="837"/>
      <c r="M33" s="837"/>
      <c r="N33" s="837"/>
      <c r="O33" s="837"/>
      <c r="P33" s="838"/>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7" t="str">
        <f>Import.Município</f>
        <v>Ivorá/RS</v>
      </c>
      <c r="F35" s="717"/>
      <c r="G35" s="717"/>
      <c r="I35" s="391"/>
      <c r="K35" s="584"/>
      <c r="L35" s="770">
        <f>DADOS!$C$48</f>
        <v>0</v>
      </c>
      <c r="M35" s="770"/>
      <c r="N35" s="770"/>
      <c r="O35" s="770"/>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Josemar Zorzi Osmari</v>
      </c>
      <c r="L40" s="77" t="s">
        <v>240</v>
      </c>
      <c r="M40" s="816">
        <f>IF(CAIXA.Modo,BM!X56,DADOS!C51)</f>
        <v>0</v>
      </c>
      <c r="N40" s="816"/>
      <c r="O40" s="816"/>
    </row>
    <row r="41" spans="5:16" x14ac:dyDescent="0.2">
      <c r="E41" s="77" t="str">
        <f>IF(CAIXA.Modo,"Função:","Cargo:")</f>
        <v>Cargo:</v>
      </c>
      <c r="F41" s="271" t="str">
        <f>IF(CAIXA.Modo,DADOS!C61,DADOS!C29)</f>
        <v>Prefeito</v>
      </c>
      <c r="L41" s="77" t="str">
        <f>IF(CAIXA.Modo,"Matrícula:","Profissão:")</f>
        <v>Profissão:</v>
      </c>
      <c r="M41" s="816">
        <f>IF(CAIXA.Modo,BM!X57,DADOS!C52)</f>
        <v>0</v>
      </c>
      <c r="N41" s="816"/>
      <c r="O41" s="816"/>
    </row>
    <row r="42" spans="5:16" x14ac:dyDescent="0.2">
      <c r="L42" s="77" t="s">
        <v>243</v>
      </c>
      <c r="M42" s="816">
        <f>IF(CAIXA.Modo,BM!X58,DADOS!C53)</f>
        <v>0</v>
      </c>
      <c r="N42" s="816"/>
      <c r="O42" s="816"/>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5"/>
      <c r="G47" s="815"/>
      <c r="L47" s="77" t="s">
        <v>240</v>
      </c>
      <c r="M47" s="815"/>
      <c r="N47" s="815"/>
      <c r="O47" s="815"/>
    </row>
    <row r="48" spans="5:16" x14ac:dyDescent="0.2">
      <c r="E48" s="77" t="str">
        <f>IF(CAIXA.Modo,"Função:","Cargo:")</f>
        <v>Cargo:</v>
      </c>
      <c r="F48" s="815"/>
      <c r="G48" s="815"/>
      <c r="L48" s="77" t="str">
        <f>IF(CAIXA.Modo,"Função:","Cargo:")</f>
        <v>Cargo:</v>
      </c>
      <c r="M48" s="815"/>
      <c r="N48" s="815"/>
      <c r="O48" s="815"/>
    </row>
    <row r="49" spans="5:15" x14ac:dyDescent="0.2">
      <c r="E49" s="77" t="str">
        <f>IF(CAIXA.Modo,"Matr:","")</f>
        <v/>
      </c>
      <c r="F49" s="815"/>
      <c r="G49" s="815"/>
      <c r="L49" s="77" t="str">
        <f>IF(CAIXA.Modo,"Matrícula:","")</f>
        <v/>
      </c>
      <c r="M49" s="815"/>
      <c r="N49" s="815"/>
      <c r="O49" s="815"/>
    </row>
  </sheetData>
  <sheetProtection algorithmName="SHA-512" hashValue="RaIurQ3iBPizWEGDZxZ5jgU/PNeVxrg/CC7++NBtjp5bPgQFmDizZy2M9UlIrL06CGPxkf3/8pps245NG1mIYg==" saltValue="S08r0J/KQVXfZHVqMWPMWw=="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9"/>
      <c r="C1" s="849"/>
      <c r="D1" s="49"/>
      <c r="E1" s="49"/>
      <c r="F1" s="49"/>
      <c r="G1" s="52" t="s">
        <v>644</v>
      </c>
    </row>
    <row r="2" spans="2:13" x14ac:dyDescent="0.2">
      <c r="B2" s="849"/>
      <c r="C2" s="849"/>
      <c r="D2" s="49"/>
      <c r="E2" s="49"/>
      <c r="F2" s="49"/>
      <c r="G2" s="11" t="s">
        <v>895</v>
      </c>
    </row>
    <row r="3" spans="2:13" ht="26.1" customHeight="1" x14ac:dyDescent="0.2">
      <c r="B3" s="849"/>
      <c r="C3" s="849"/>
      <c r="D3" s="49"/>
      <c r="E3" s="49"/>
      <c r="F3" s="49"/>
      <c r="G3" s="393"/>
    </row>
    <row r="4" spans="2:13" ht="12.75" customHeight="1" x14ac:dyDescent="0.2">
      <c r="B4" s="849"/>
      <c r="C4" s="849"/>
      <c r="D4" s="49"/>
      <c r="E4" s="49"/>
      <c r="F4" s="49"/>
      <c r="G4" s="49"/>
    </row>
    <row r="5" spans="2:13" x14ac:dyDescent="0.2">
      <c r="C5" s="571" t="str">
        <f>IF(Import.Ofício.Num=0,"Preencher o número do Ofício","")</f>
        <v>Preencher o número do Ofício</v>
      </c>
    </row>
    <row r="6" spans="2:13" x14ac:dyDescent="0.2">
      <c r="B6" s="394" t="s">
        <v>896</v>
      </c>
      <c r="C6" s="846"/>
      <c r="D6" s="846"/>
      <c r="E6" s="394"/>
      <c r="F6" s="394"/>
      <c r="G6" s="49"/>
      <c r="J6" s="9"/>
    </row>
    <row r="7" spans="2:13" x14ac:dyDescent="0.2">
      <c r="B7" s="49"/>
      <c r="C7" s="49"/>
      <c r="D7" s="49"/>
      <c r="E7" s="49"/>
      <c r="F7" s="49"/>
      <c r="G7" s="49"/>
    </row>
    <row r="8" spans="2:13" x14ac:dyDescent="0.2">
      <c r="B8" s="847" t="str">
        <f>CONCATENATE(RRE!$E$35,", ",TEXT(RRE!$L$35,"dd"" de ""mmmm"" de ""aaaa"))</f>
        <v>Ivorá/RS, 00 de janeiro de 1900</v>
      </c>
      <c r="C8" s="847"/>
      <c r="D8" s="847"/>
      <c r="E8" s="847"/>
      <c r="F8" s="847"/>
      <c r="G8" s="847"/>
      <c r="H8" s="395"/>
      <c r="J8" s="395"/>
      <c r="K8" s="395"/>
      <c r="L8" s="395"/>
      <c r="M8" s="395"/>
    </row>
    <row r="9" spans="2:13" x14ac:dyDescent="0.2">
      <c r="B9" s="396" t="s">
        <v>897</v>
      </c>
      <c r="C9" s="49"/>
      <c r="D9" s="49"/>
      <c r="G9" s="49"/>
      <c r="H9" s="395"/>
      <c r="J9" s="395"/>
      <c r="K9" s="395"/>
      <c r="L9" s="395"/>
      <c r="M9" s="395"/>
    </row>
    <row r="10" spans="2:13" x14ac:dyDescent="0.2">
      <c r="B10" s="848" t="s">
        <v>898</v>
      </c>
      <c r="C10" s="848"/>
      <c r="D10" s="848"/>
      <c r="G10" s="49"/>
      <c r="H10" s="395"/>
      <c r="J10" s="395"/>
      <c r="K10" s="395"/>
      <c r="L10" s="395"/>
      <c r="M10" s="395"/>
    </row>
    <row r="11" spans="2:13" x14ac:dyDescent="0.2">
      <c r="B11" s="397" t="s">
        <v>899</v>
      </c>
      <c r="C11" s="815"/>
      <c r="D11" s="81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8" t="str" cm="1">
        <f t="array" aca="1" ref="C14" ca="1">CONCATENATE(RRE.Numero,"ª"," Solicitação de ",IF(import.recurso="OGU","Desbloqueio","Desembolso")," de Recursos.")</f>
        <v>1ª Solicitação de Desbloqueio de Recursos.</v>
      </c>
      <c r="D14" s="848"/>
      <c r="E14" s="848"/>
      <c r="F14" s="848"/>
      <c r="G14" s="848"/>
    </row>
    <row r="15" spans="2:13" ht="12.75" customHeight="1" x14ac:dyDescent="0.2">
      <c r="B15" s="396" t="s">
        <v>901</v>
      </c>
      <c r="C15" s="854" t="str">
        <f>CONCATENATE("Contrato de ",IF(import.recurso="OGU","Repasse","Financiamento")," - Operação nº ",Import.CR,IF(Import.TransfereGOV="","",CONCATENATE(" - TransfereGOV nº ",Import.TransfereGOV)))</f>
        <v>Contrato de Repasse - Operação nº 984561-2025 - TransfereGOV nº 984561</v>
      </c>
      <c r="D15" s="854"/>
      <c r="E15" s="854"/>
      <c r="F15" s="854"/>
      <c r="G15" s="854"/>
    </row>
    <row r="16" spans="2:13" x14ac:dyDescent="0.2">
      <c r="B16" s="396"/>
      <c r="C16" s="854"/>
      <c r="D16" s="854"/>
      <c r="E16" s="854"/>
      <c r="F16" s="854"/>
      <c r="G16" s="854"/>
    </row>
    <row r="17" spans="2:7" x14ac:dyDescent="0.2">
      <c r="B17" s="49"/>
      <c r="C17" s="49"/>
      <c r="D17" s="49"/>
      <c r="E17" s="49"/>
      <c r="F17" s="49"/>
      <c r="G17" s="49"/>
    </row>
    <row r="18" spans="2:7" ht="12.75" customHeight="1" x14ac:dyDescent="0.2">
      <c r="B18" s="271" t="s">
        <v>902</v>
      </c>
      <c r="C18" s="850" t="str">
        <f>Import.DescLote</f>
        <v>Pavimentação Asfáltica Rua Padre Pedro Marcelino Copetti</v>
      </c>
      <c r="D18" s="850"/>
      <c r="E18" s="850"/>
      <c r="F18" s="850"/>
      <c r="G18" s="850"/>
    </row>
    <row r="19" spans="2:7" ht="12.75" customHeight="1" x14ac:dyDescent="0.2">
      <c r="B19" s="852" t="s">
        <v>903</v>
      </c>
      <c r="C19" s="853" t="str">
        <f>Import.Proponente</f>
        <v>Município de Ivorá</v>
      </c>
      <c r="D19" s="853"/>
      <c r="E19" s="853"/>
      <c r="F19" s="853"/>
      <c r="G19" s="853"/>
    </row>
    <row r="20" spans="2:7" x14ac:dyDescent="0.2">
      <c r="B20" s="852"/>
      <c r="C20" s="853"/>
      <c r="D20" s="853"/>
      <c r="E20" s="853"/>
      <c r="F20" s="853"/>
      <c r="G20" s="853"/>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0"/>
      <c r="D24" s="850"/>
      <c r="E24" s="850"/>
      <c r="F24" s="850"/>
      <c r="G24" s="850"/>
    </row>
    <row r="25" spans="2:7" x14ac:dyDescent="0.2">
      <c r="B25" s="850"/>
      <c r="C25" s="850"/>
      <c r="D25" s="850"/>
      <c r="E25" s="850"/>
      <c r="F25" s="850"/>
      <c r="G25" s="850"/>
    </row>
    <row r="26" spans="2:7" x14ac:dyDescent="0.2">
      <c r="B26" s="850"/>
      <c r="C26" s="850"/>
      <c r="D26" s="850"/>
      <c r="E26" s="850"/>
      <c r="F26" s="850"/>
      <c r="G26" s="850"/>
    </row>
    <row r="27" spans="2:7" x14ac:dyDescent="0.2">
      <c r="B27" s="49"/>
      <c r="C27" s="49"/>
      <c r="D27" s="49"/>
      <c r="E27" s="49"/>
      <c r="F27" s="49"/>
      <c r="G27" s="49"/>
    </row>
    <row r="28" spans="2:7" ht="12.75" customHeight="1" x14ac:dyDescent="0.2">
      <c r="B28" s="851"/>
      <c r="C28" s="851"/>
      <c r="D28" s="855" t="s">
        <v>904</v>
      </c>
      <c r="E28" s="855" t="str" cm="1">
        <f t="array" aca="1" ref="E28" ca="1">"Evolução da "&amp;RRE.Numero&amp;"ª Medição"</f>
        <v>Evolução da 1ª Medição</v>
      </c>
      <c r="F28" s="856" t="s">
        <v>905</v>
      </c>
      <c r="G28" s="856"/>
    </row>
    <row r="29" spans="2:7" x14ac:dyDescent="0.2">
      <c r="B29" s="851"/>
      <c r="C29" s="851"/>
      <c r="D29" s="855"/>
      <c r="E29" s="855"/>
      <c r="F29" s="856"/>
      <c r="G29" s="856"/>
    </row>
    <row r="30" spans="2:7" x14ac:dyDescent="0.2">
      <c r="B30" s="857" t="str">
        <f>IF(import.recurso="FGTS","Financiamento:","Repasse:")</f>
        <v>Repasse:</v>
      </c>
      <c r="C30" s="857"/>
      <c r="D30" s="399">
        <f ca="1">RRE!L25</f>
        <v>389863</v>
      </c>
      <c r="E30" s="399">
        <f ca="1">RRE!N25</f>
        <v>0</v>
      </c>
      <c r="F30" s="858">
        <f ca="1">RRE!O25</f>
        <v>0</v>
      </c>
      <c r="G30" s="858"/>
    </row>
    <row r="31" spans="2:7" x14ac:dyDescent="0.2">
      <c r="B31" s="857" t="s">
        <v>906</v>
      </c>
      <c r="C31" s="857"/>
      <c r="D31" s="399">
        <f ca="1">RRE!L26</f>
        <v>34626.11</v>
      </c>
      <c r="E31" s="399">
        <f ca="1">RRE!N26</f>
        <v>0</v>
      </c>
      <c r="F31" s="858">
        <f ca="1">RRE!O26</f>
        <v>0</v>
      </c>
      <c r="G31" s="858"/>
    </row>
    <row r="32" spans="2:7" x14ac:dyDescent="0.2">
      <c r="B32" s="857" t="s">
        <v>801</v>
      </c>
      <c r="C32" s="857"/>
      <c r="D32" s="399">
        <f ca="1">RRE!L27</f>
        <v>0</v>
      </c>
      <c r="E32" s="399">
        <f ca="1">RRE!N27</f>
        <v>0</v>
      </c>
      <c r="F32" s="858">
        <f ca="1">RRE!O27</f>
        <v>0</v>
      </c>
      <c r="G32" s="858"/>
    </row>
    <row r="33" spans="2:7" x14ac:dyDescent="0.2">
      <c r="B33" s="857" t="s">
        <v>802</v>
      </c>
      <c r="C33" s="857"/>
      <c r="D33" s="399">
        <f ca="1">RRE!L28</f>
        <v>424489.11</v>
      </c>
      <c r="E33" s="399">
        <f ca="1">RRE!N28</f>
        <v>0</v>
      </c>
      <c r="F33" s="858">
        <f ca="1">RRE!O28</f>
        <v>0</v>
      </c>
      <c r="G33" s="858"/>
    </row>
    <row r="34" spans="2:7" x14ac:dyDescent="0.2">
      <c r="B34" s="861" t="s">
        <v>907</v>
      </c>
      <c r="C34" s="861"/>
      <c r="D34" s="400" t="s">
        <v>688</v>
      </c>
      <c r="E34" s="401">
        <f ca="1">RRE!$N$28/(RRE!$L$28+10^-12)</f>
        <v>0</v>
      </c>
      <c r="F34" s="862">
        <f ca="1">RRE!P24</f>
        <v>0</v>
      </c>
      <c r="G34" s="862"/>
    </row>
    <row r="35" spans="2:7" x14ac:dyDescent="0.2">
      <c r="B35" s="181"/>
      <c r="C35" s="49"/>
      <c r="D35" s="49"/>
      <c r="E35" s="49"/>
      <c r="F35" s="49"/>
      <c r="G35" s="49"/>
    </row>
    <row r="36" spans="2:7" x14ac:dyDescent="0.2">
      <c r="B36" s="181"/>
      <c r="C36" s="181"/>
      <c r="D36" s="181"/>
      <c r="E36" s="181"/>
      <c r="F36" s="181"/>
      <c r="G36" s="49"/>
    </row>
    <row r="37" spans="2:7" x14ac:dyDescent="0.2">
      <c r="B37" s="863" t="str" cm="1">
        <f t="array" aca="1" ref="B37" ca="1">IF(RRE.Numero&gt;1,"2. Encaminhamos ainda a documentação relativa à prestação de contas da etapa físico-financeira anterior.","")</f>
        <v/>
      </c>
      <c r="C37" s="863"/>
      <c r="D37" s="863"/>
      <c r="E37" s="863"/>
      <c r="F37" s="863"/>
      <c r="G37" s="863"/>
    </row>
    <row r="38" spans="2:7" x14ac:dyDescent="0.2">
      <c r="B38" s="863"/>
      <c r="C38" s="863"/>
      <c r="D38" s="863"/>
      <c r="E38" s="863"/>
      <c r="F38" s="863"/>
      <c r="G38" s="863"/>
    </row>
    <row r="39" spans="2:7" ht="12.75" customHeight="1" x14ac:dyDescent="0.2">
      <c r="B39" s="863" t="str" cm="1">
        <f t="array" aca="1" ref="B39" ca="1">IF(AND(RRE.Numero&gt;1,NOT(ISBLANK(Import.TransfereGOV))),"3. Na oportunidade, informamos que a execução financeira da parcela anterior está devidamente comprovada no TransfereGOV.","")</f>
        <v/>
      </c>
      <c r="C39" s="863"/>
      <c r="D39" s="863"/>
      <c r="E39" s="863"/>
      <c r="F39" s="863"/>
      <c r="G39" s="863"/>
    </row>
    <row r="40" spans="2:7" x14ac:dyDescent="0.2">
      <c r="B40" s="863"/>
      <c r="C40" s="863"/>
      <c r="D40" s="863"/>
      <c r="E40" s="863"/>
      <c r="F40" s="863"/>
      <c r="G40" s="863"/>
    </row>
    <row r="41" spans="2:7" x14ac:dyDescent="0.2">
      <c r="B41" s="402"/>
      <c r="C41" s="397"/>
      <c r="D41" s="397"/>
      <c r="E41" s="397"/>
      <c r="F41" s="397"/>
      <c r="G41" s="397"/>
    </row>
    <row r="42" spans="2:7" ht="12.75" customHeight="1" x14ac:dyDescent="0.2">
      <c r="B42" s="863"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3"/>
      <c r="D42" s="863"/>
      <c r="E42" s="863"/>
      <c r="F42" s="863"/>
      <c r="G42" s="863"/>
    </row>
    <row r="43" spans="2:7" x14ac:dyDescent="0.2">
      <c r="B43" s="863"/>
      <c r="C43" s="863"/>
      <c r="D43" s="863"/>
      <c r="E43" s="863"/>
      <c r="F43" s="863"/>
      <c r="G43" s="863"/>
    </row>
    <row r="44" spans="2:7" x14ac:dyDescent="0.2">
      <c r="B44" s="863"/>
      <c r="C44" s="863"/>
      <c r="D44" s="863"/>
      <c r="E44" s="863"/>
      <c r="F44" s="863"/>
      <c r="G44" s="863"/>
    </row>
    <row r="45" spans="2:7" x14ac:dyDescent="0.2">
      <c r="B45" s="863"/>
      <c r="C45" s="863"/>
      <c r="D45" s="863"/>
      <c r="E45" s="863"/>
      <c r="F45" s="863"/>
      <c r="G45" s="863"/>
    </row>
    <row r="46" spans="2:7" x14ac:dyDescent="0.2">
      <c r="B46" s="863"/>
      <c r="C46" s="863"/>
      <c r="D46" s="863"/>
      <c r="E46" s="863"/>
      <c r="F46" s="863"/>
      <c r="G46" s="863"/>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9" t="str">
        <f>DADOS!$C$28</f>
        <v>Josemar Zorzi Osmari</v>
      </c>
      <c r="C54" s="859"/>
      <c r="D54" s="859"/>
      <c r="E54" s="859"/>
      <c r="F54" s="859"/>
      <c r="G54" s="859"/>
    </row>
    <row r="55" spans="2:7" x14ac:dyDescent="0.2">
      <c r="B55" s="859" t="str">
        <f>DADOS!$C$29</f>
        <v>Prefeito</v>
      </c>
      <c r="C55" s="859"/>
      <c r="D55" s="859"/>
      <c r="E55" s="859"/>
      <c r="F55" s="859"/>
      <c r="G55" s="859"/>
    </row>
    <row r="56" spans="2:7" x14ac:dyDescent="0.2">
      <c r="B56" s="860"/>
      <c r="C56" s="860"/>
      <c r="D56" s="860"/>
      <c r="E56" s="860"/>
      <c r="F56" s="860"/>
      <c r="G56" s="860"/>
    </row>
  </sheetData>
  <sheetProtection algorithmName="SHA-512" hashValue="rgAfeqOTgYIgTIV4KNiCzn0qzvMWhnN0PYgVKskF1YCtborCjEdtfHGCgfayBgKvchdBOME6CV4ZEoszFQogYA==" saltValue="SRJ9qCGwcVNlSaE/dbKNYA=="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Pref Ivora</cp:lastModifiedBy>
  <cp:revision>5</cp:revision>
  <cp:lastPrinted>2026-06-11T11:21:06Z</cp:lastPrinted>
  <dcterms:created xsi:type="dcterms:W3CDTF">1997-01-10T22:22:50Z</dcterms:created>
  <dcterms:modified xsi:type="dcterms:W3CDTF">2026-06-11T11:21:09Z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